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Projetos\"/>
    </mc:Choice>
  </mc:AlternateContent>
  <xr:revisionPtr revIDLastSave="0" documentId="13_ncr:1_{63F053ED-1265-492E-8C80-90062BDAFA57}" xr6:coauthVersionLast="47" xr6:coauthVersionMax="47" xr10:uidLastSave="{00000000-0000-0000-0000-000000000000}"/>
  <bookViews>
    <workbookView xWindow="-120" yWindow="-120" windowWidth="29040" windowHeight="15840" activeTab="2" xr2:uid="{32566B25-B893-4F72-B338-26D988D77CAF}"/>
  </bookViews>
  <sheets>
    <sheet name="U Simples Dobrado" sheetId="1" r:id="rId1"/>
    <sheet name="U Enrijecido Dobrado" sheetId="2" r:id="rId2"/>
    <sheet name="Planilha1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3" l="1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" i="3"/>
  <c r="N1" i="3"/>
  <c r="I1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" i="3"/>
  <c r="G31" i="2"/>
  <c r="B26" i="2"/>
  <c r="B25" i="2"/>
  <c r="B24" i="2"/>
  <c r="E11" i="2"/>
  <c r="E22" i="2" s="1"/>
  <c r="E10" i="2"/>
  <c r="E18" i="2" s="1"/>
  <c r="E35" i="2"/>
  <c r="E34" i="2"/>
  <c r="I34" i="2" s="1"/>
  <c r="E28" i="2"/>
  <c r="E21" i="2"/>
  <c r="G21" i="2" s="1"/>
  <c r="I18" i="2"/>
  <c r="G12" i="2"/>
  <c r="E35" i="1"/>
  <c r="E34" i="1"/>
  <c r="I34" i="1" s="1"/>
  <c r="E28" i="1"/>
  <c r="G28" i="1" s="1"/>
  <c r="E21" i="1"/>
  <c r="G21" i="1" s="1"/>
  <c r="E32" i="2" l="1"/>
  <c r="G13" i="2"/>
  <c r="I31" i="2"/>
  <c r="G10" i="2"/>
  <c r="G11" i="2" s="1"/>
  <c r="G14" i="2"/>
  <c r="G18" i="2"/>
  <c r="I21" i="2"/>
  <c r="E12" i="2"/>
  <c r="G34" i="2"/>
  <c r="G35" i="2" s="1"/>
  <c r="G34" i="1"/>
  <c r="G35" i="1" s="1"/>
  <c r="G13" i="1"/>
  <c r="G12" i="1"/>
  <c r="E11" i="1"/>
  <c r="E10" i="1"/>
  <c r="I35" i="1" l="1"/>
  <c r="G38" i="1"/>
  <c r="G28" i="2"/>
  <c r="E13" i="2"/>
  <c r="I28" i="2"/>
  <c r="E29" i="2" s="1"/>
  <c r="G29" i="2" s="1"/>
  <c r="I29" i="2" s="1"/>
  <c r="G38" i="2"/>
  <c r="I35" i="2"/>
  <c r="E12" i="1"/>
  <c r="E22" i="1"/>
  <c r="G14" i="1"/>
  <c r="E18" i="1"/>
  <c r="G18" i="1"/>
  <c r="I18" i="1" s="1"/>
  <c r="I21" i="1"/>
  <c r="G10" i="1"/>
  <c r="G22" i="2" l="1"/>
  <c r="E14" i="2"/>
  <c r="G23" i="2"/>
  <c r="I28" i="1"/>
  <c r="E29" i="1" s="1"/>
  <c r="G29" i="1" s="1"/>
  <c r="E13" i="1"/>
  <c r="G11" i="1"/>
  <c r="I22" i="2" l="1"/>
  <c r="E23" i="2" s="1"/>
  <c r="I29" i="1"/>
  <c r="E14" i="1"/>
  <c r="G22" i="1"/>
  <c r="G23" i="1"/>
  <c r="I23" i="2" l="1"/>
  <c r="E24" i="2" s="1"/>
  <c r="E30" i="2"/>
  <c r="G30" i="2" s="1"/>
  <c r="I30" i="2" s="1"/>
  <c r="E31" i="2" s="1"/>
  <c r="G32" i="2" s="1"/>
  <c r="I22" i="1"/>
  <c r="E23" i="1" s="1"/>
  <c r="I23" i="1" s="1"/>
  <c r="E24" i="1" s="1"/>
  <c r="I32" i="2" l="1"/>
  <c r="G41" i="2" s="1"/>
  <c r="E38" i="2"/>
  <c r="I38" i="2" s="1"/>
  <c r="G24" i="2"/>
  <c r="I24" i="2" s="1"/>
  <c r="G25" i="2" s="1"/>
  <c r="I25" i="2" s="1"/>
  <c r="E41" i="2" s="1"/>
  <c r="E30" i="1"/>
  <c r="G30" i="1" s="1"/>
  <c r="I30" i="1" s="1"/>
  <c r="E31" i="1" s="1"/>
  <c r="G31" i="1" s="1"/>
  <c r="G24" i="1"/>
  <c r="I24" i="1" s="1"/>
  <c r="G25" i="1" s="1"/>
  <c r="I25" i="1" s="1"/>
  <c r="E41" i="1" s="1"/>
  <c r="I31" i="1" l="1"/>
  <c r="G41" i="1" s="1"/>
  <c r="I41" i="1" s="1"/>
  <c r="E38" i="1"/>
  <c r="I38" i="1" s="1"/>
  <c r="I41" i="2"/>
  <c r="E43" i="2" s="1"/>
  <c r="F43" i="2" s="1"/>
  <c r="E43" i="1" l="1"/>
  <c r="F43" i="1" s="1"/>
</calcChain>
</file>

<file path=xl/sharedStrings.xml><?xml version="1.0" encoding="utf-8"?>
<sst xmlns="http://schemas.openxmlformats.org/spreadsheetml/2006/main" count="173" uniqueCount="88">
  <si>
    <t>Cb</t>
  </si>
  <si>
    <t>Lx (cm)</t>
  </si>
  <si>
    <t>Ly (cm)</t>
  </si>
  <si>
    <t>Lb (cm)</t>
  </si>
  <si>
    <t>Nsd (cm)</t>
  </si>
  <si>
    <t>Mx,Sd (kN.cm)</t>
  </si>
  <si>
    <t>My,Sd (kN.cm)</t>
  </si>
  <si>
    <t>Vx,Sd (kN)</t>
  </si>
  <si>
    <t>Dados Globais</t>
  </si>
  <si>
    <t>Dados do Perfil</t>
  </si>
  <si>
    <t>Fy(kN/cm²)</t>
  </si>
  <si>
    <t>Fu (kN/cm²)</t>
  </si>
  <si>
    <t>Popriedades Geométricas da seção completa</t>
  </si>
  <si>
    <t>A (cm²)</t>
  </si>
  <si>
    <t>Bw (cm)</t>
  </si>
  <si>
    <t>Bf (cm)</t>
  </si>
  <si>
    <t>t(cm)</t>
  </si>
  <si>
    <t>Ix (cm4)</t>
  </si>
  <si>
    <t>Wx(cm³)</t>
  </si>
  <si>
    <t>Iy(cm)4</t>
  </si>
  <si>
    <t>Wy(cm4)</t>
  </si>
  <si>
    <t>Xg (cm)</t>
  </si>
  <si>
    <t>X0 (cm)</t>
  </si>
  <si>
    <t>It (cm4)</t>
  </si>
  <si>
    <t>p (kg/m)</t>
  </si>
  <si>
    <t>Cw(cm6)</t>
  </si>
  <si>
    <t>Ct</t>
  </si>
  <si>
    <t>Verificações ELU</t>
  </si>
  <si>
    <t>Nt,Rd1 (kN)</t>
  </si>
  <si>
    <t>Nt,Rd2 (kN)</t>
  </si>
  <si>
    <t>SOLIC./RESIST</t>
  </si>
  <si>
    <t>Aef</t>
  </si>
  <si>
    <t>Nl</t>
  </si>
  <si>
    <t>η</t>
  </si>
  <si>
    <t>kl</t>
  </si>
  <si>
    <t>λp</t>
  </si>
  <si>
    <t>Nex</t>
  </si>
  <si>
    <t>Ney</t>
  </si>
  <si>
    <t>Nez</t>
  </si>
  <si>
    <t>ro²</t>
  </si>
  <si>
    <t>χ</t>
  </si>
  <si>
    <t>λ0</t>
  </si>
  <si>
    <t>Nexz</t>
  </si>
  <si>
    <t>Nc,Rd (kN)</t>
  </si>
  <si>
    <t>Verificação da Resistência ao esforço de  Compressão Axial</t>
  </si>
  <si>
    <t>Verificação da Resistência ao esforço de  Tração</t>
  </si>
  <si>
    <t>Verificação da Resistência ao esforço de  Flexão em relação ao Eixo X-X</t>
  </si>
  <si>
    <t>Ml</t>
  </si>
  <si>
    <t>Wef</t>
  </si>
  <si>
    <t>Mrd (i.e.s.e)</t>
  </si>
  <si>
    <t>Me</t>
  </si>
  <si>
    <t>χ(FLT)</t>
  </si>
  <si>
    <t>MRd(FLT)</t>
  </si>
  <si>
    <t>MRd (kN.cm)</t>
  </si>
  <si>
    <t>j</t>
  </si>
  <si>
    <t>Verificação da Resistência ao Esforço cortante</t>
  </si>
  <si>
    <t>a(cm) - Enrij.</t>
  </si>
  <si>
    <t>kv</t>
  </si>
  <si>
    <t>λr</t>
  </si>
  <si>
    <t>VRd (kN)</t>
  </si>
  <si>
    <t>h/t</t>
  </si>
  <si>
    <t>Interação entre Flexão E Cortante</t>
  </si>
  <si>
    <t>Msd/Mrd</t>
  </si>
  <si>
    <t>(Msd/Mrd)²</t>
  </si>
  <si>
    <t>(Vsd/Vrd)²</t>
  </si>
  <si>
    <t>Interação</t>
  </si>
  <si>
    <t>Interação entre Flexão e Axial</t>
  </si>
  <si>
    <t>Nsd/Nrd</t>
  </si>
  <si>
    <t>Resultado</t>
  </si>
  <si>
    <t>D (cm)</t>
  </si>
  <si>
    <t>am</t>
  </si>
  <si>
    <t>bm</t>
  </si>
  <si>
    <t>cm</t>
  </si>
  <si>
    <t>μ</t>
  </si>
  <si>
    <t>a</t>
  </si>
  <si>
    <t>b</t>
  </si>
  <si>
    <t>Lambda</t>
  </si>
  <si>
    <t>Lambdap</t>
  </si>
  <si>
    <t>LambdaR</t>
  </si>
  <si>
    <t>b/t</t>
  </si>
  <si>
    <t>Mrd (Wc=W)</t>
  </si>
  <si>
    <t>MRd (Wc = W/2)</t>
  </si>
  <si>
    <t>Status</t>
  </si>
  <si>
    <t>Z</t>
  </si>
  <si>
    <t>Mpl=</t>
  </si>
  <si>
    <t xml:space="preserve">W = </t>
  </si>
  <si>
    <t>kc=0,53</t>
  </si>
  <si>
    <t>Mr=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</si>
</sst>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5E838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9">
    <xf numFmtId="0" fontId="0" fillId="0" borderId="0" xfId="0"/>
    <xf numFmtId="0" fontId="0" fillId="2" borderId="0" xfId="0" applyFill="1"/>
    <xf numFmtId="0" fontId="0" fillId="2" borderId="1" xfId="0" applyFill="1" applyBorder="1"/>
    <xf numFmtId="0" fontId="0" fillId="2" borderId="2" xfId="0" applyFill="1" applyBorder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0" fillId="2" borderId="0" xfId="0" applyFill="1" applyAlignment="1">
      <alignment horizontal="right"/>
    </xf>
    <xf numFmtId="2" fontId="0" fillId="2" borderId="0" xfId="0" applyNumberFormat="1" applyFill="1" applyAlignment="1">
      <alignment horizontal="center"/>
    </xf>
    <xf numFmtId="164" fontId="0" fillId="2" borderId="0" xfId="0" applyNumberFormat="1" applyFill="1" applyAlignment="1">
      <alignment horizontal="center"/>
    </xf>
    <xf numFmtId="164" fontId="0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65" fontId="0" fillId="2" borderId="0" xfId="0" applyNumberFormat="1" applyFill="1" applyAlignment="1">
      <alignment horizontal="center"/>
    </xf>
    <xf numFmtId="9" fontId="0" fillId="4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2" fontId="0" fillId="2" borderId="0" xfId="0" applyNumberFormat="1" applyFill="1"/>
    <xf numFmtId="0" fontId="1" fillId="3" borderId="0" xfId="0" applyFont="1" applyFill="1" applyAlignment="1">
      <alignment horizontal="center"/>
    </xf>
    <xf numFmtId="0" fontId="1" fillId="3" borderId="0" xfId="0" applyFont="1" applyFill="1"/>
    <xf numFmtId="165" fontId="0" fillId="2" borderId="0" xfId="0" applyNumberFormat="1" applyFill="1"/>
    <xf numFmtId="0" fontId="3" fillId="3" borderId="0" xfId="0" applyFont="1" applyFill="1"/>
    <xf numFmtId="0" fontId="1" fillId="2" borderId="0" xfId="0" applyFont="1" applyFill="1"/>
    <xf numFmtId="0" fontId="0" fillId="3" borderId="0" xfId="0" applyFont="1" applyFill="1"/>
    <xf numFmtId="0" fontId="0" fillId="2" borderId="4" xfId="0" applyFill="1" applyBorder="1"/>
    <xf numFmtId="2" fontId="0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3" xfId="0" applyFont="1" applyFill="1" applyBorder="1" applyAlignment="1">
      <alignment horizontal="center"/>
    </xf>
    <xf numFmtId="1" fontId="0" fillId="0" borderId="0" xfId="0" applyNumberFormat="1"/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45E83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FLM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Planilha1!$B$3:$B$82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cat>
          <c:val>
            <c:numRef>
              <c:f>Planilha1!$F$3:$F$82</c:f>
              <c:numCache>
                <c:formatCode>0</c:formatCode>
                <c:ptCount val="80"/>
                <c:pt idx="0">
                  <c:v>106371.435</c:v>
                </c:pt>
                <c:pt idx="1">
                  <c:v>106371.435</c:v>
                </c:pt>
                <c:pt idx="2">
                  <c:v>106371.435</c:v>
                </c:pt>
                <c:pt idx="3">
                  <c:v>106371.435</c:v>
                </c:pt>
                <c:pt idx="4">
                  <c:v>106371.435</c:v>
                </c:pt>
                <c:pt idx="5">
                  <c:v>106371.435</c:v>
                </c:pt>
                <c:pt idx="6">
                  <c:v>106371.435</c:v>
                </c:pt>
                <c:pt idx="7">
                  <c:v>106371.435</c:v>
                </c:pt>
                <c:pt idx="8">
                  <c:v>106371.435</c:v>
                </c:pt>
                <c:pt idx="9">
                  <c:v>103376.32626038781</c:v>
                </c:pt>
                <c:pt idx="10">
                  <c:v>99852.668919667587</c:v>
                </c:pt>
                <c:pt idx="11">
                  <c:v>96329.011578947364</c:v>
                </c:pt>
                <c:pt idx="12">
                  <c:v>92805.354238227141</c:v>
                </c:pt>
                <c:pt idx="13">
                  <c:v>89281.696897506918</c:v>
                </c:pt>
                <c:pt idx="14">
                  <c:v>85758.039556786709</c:v>
                </c:pt>
                <c:pt idx="15">
                  <c:v>82234.382216066471</c:v>
                </c:pt>
                <c:pt idx="16">
                  <c:v>78710.724875346263</c:v>
                </c:pt>
                <c:pt idx="17">
                  <c:v>75187.06753462604</c:v>
                </c:pt>
                <c:pt idx="18">
                  <c:v>71663.410193905816</c:v>
                </c:pt>
                <c:pt idx="19">
                  <c:v>67362.894</c:v>
                </c:pt>
                <c:pt idx="20">
                  <c:v>61100.130612244895</c:v>
                </c:pt>
                <c:pt idx="21">
                  <c:v>55671.813223140496</c:v>
                </c:pt>
                <c:pt idx="22">
                  <c:v>50936.025708884685</c:v>
                </c:pt>
                <c:pt idx="23">
                  <c:v>46779.787499999999</c:v>
                </c:pt>
                <c:pt idx="24">
                  <c:v>43112.252159999996</c:v>
                </c:pt>
                <c:pt idx="25">
                  <c:v>39859.700591715977</c:v>
                </c:pt>
                <c:pt idx="26">
                  <c:v>36961.80740740741</c:v>
                </c:pt>
                <c:pt idx="27">
                  <c:v>34368.82346938776</c:v>
                </c:pt>
                <c:pt idx="28">
                  <c:v>32039.426397146257</c:v>
                </c:pt>
                <c:pt idx="29">
                  <c:v>29939.063999999998</c:v>
                </c:pt>
                <c:pt idx="30">
                  <c:v>28038.66555671176</c:v>
                </c:pt>
                <c:pt idx="31">
                  <c:v>26313.630468750001</c:v>
                </c:pt>
                <c:pt idx="32">
                  <c:v>24743.028099173556</c:v>
                </c:pt>
                <c:pt idx="33">
                  <c:v>23308.959861591695</c:v>
                </c:pt>
                <c:pt idx="34">
                  <c:v>21996.047020408165</c:v>
                </c:pt>
                <c:pt idx="35">
                  <c:v>20791.016666666666</c:v>
                </c:pt>
                <c:pt idx="36">
                  <c:v>19682.364937910887</c:v>
                </c:pt>
                <c:pt idx="37">
                  <c:v>18660.081440443213</c:v>
                </c:pt>
                <c:pt idx="38">
                  <c:v>17715.422485207102</c:v>
                </c:pt>
                <c:pt idx="39">
                  <c:v>16840.7235</c:v>
                </c:pt>
                <c:pt idx="40">
                  <c:v>16029.243069601429</c:v>
                </c:pt>
                <c:pt idx="41">
                  <c:v>15275.032653061224</c:v>
                </c:pt>
                <c:pt idx="42">
                  <c:v>14572.827257977286</c:v>
                </c:pt>
                <c:pt idx="43">
                  <c:v>13917.953305785124</c:v>
                </c:pt>
                <c:pt idx="44">
                  <c:v>13306.250666666667</c:v>
                </c:pt>
                <c:pt idx="45">
                  <c:v>12734.006427221171</c:v>
                </c:pt>
                <c:pt idx="46">
                  <c:v>12197.898415572658</c:v>
                </c:pt>
                <c:pt idx="47">
                  <c:v>11694.946875</c:v>
                </c:pt>
                <c:pt idx="48">
                  <c:v>11222.472969596001</c:v>
                </c:pt>
                <c:pt idx="49">
                  <c:v>10778.063039999999</c:v>
                </c:pt>
                <c:pt idx="50">
                  <c:v>10359.537716262976</c:v>
                </c:pt>
                <c:pt idx="51">
                  <c:v>9964.9251479289942</c:v>
                </c:pt>
                <c:pt idx="52">
                  <c:v>9592.4377358490565</c:v>
                </c:pt>
                <c:pt idx="53">
                  <c:v>9240.4518518518526</c:v>
                </c:pt>
                <c:pt idx="54">
                  <c:v>8907.4901157024797</c:v>
                </c:pt>
                <c:pt idx="55">
                  <c:v>8592.2058673469401</c:v>
                </c:pt>
                <c:pt idx="56">
                  <c:v>8293.3695290858723</c:v>
                </c:pt>
                <c:pt idx="57">
                  <c:v>8009.8565992865642</c:v>
                </c:pt>
                <c:pt idx="58">
                  <c:v>7740.6370583165763</c:v>
                </c:pt>
                <c:pt idx="59">
                  <c:v>7484.7659999999996</c:v>
                </c:pt>
                <c:pt idx="60">
                  <c:v>7241.3753292125784</c:v>
                </c:pt>
                <c:pt idx="61">
                  <c:v>7009.6663891779399</c:v>
                </c:pt>
                <c:pt idx="62">
                  <c:v>6788.9034013605451</c:v>
                </c:pt>
                <c:pt idx="63">
                  <c:v>6578.4076171875004</c:v>
                </c:pt>
                <c:pt idx="64">
                  <c:v>6377.5520946745564</c:v>
                </c:pt>
                <c:pt idx="65">
                  <c:v>6185.7570247933891</c:v>
                </c:pt>
                <c:pt idx="66">
                  <c:v>6002.485542437068</c:v>
                </c:pt>
                <c:pt idx="67">
                  <c:v>5827.2399653979237</c:v>
                </c:pt>
                <c:pt idx="68">
                  <c:v>5659.5584120982985</c:v>
                </c:pt>
                <c:pt idx="69">
                  <c:v>5499.0117551020412</c:v>
                </c:pt>
                <c:pt idx="70">
                  <c:v>5345.2008728426899</c:v>
                </c:pt>
                <c:pt idx="71">
                  <c:v>5197.7541666666666</c:v>
                </c:pt>
                <c:pt idx="72">
                  <c:v>5056.3253143178836</c:v>
                </c:pt>
                <c:pt idx="73">
                  <c:v>4920.5912344777216</c:v>
                </c:pt>
                <c:pt idx="74">
                  <c:v>4790.2502400000003</c:v>
                </c:pt>
                <c:pt idx="75">
                  <c:v>4665.0203601108033</c:v>
                </c:pt>
                <c:pt idx="76">
                  <c:v>4544.6378141339183</c:v>
                </c:pt>
                <c:pt idx="77">
                  <c:v>4428.8556213017755</c:v>
                </c:pt>
                <c:pt idx="78">
                  <c:v>4317.442332959462</c:v>
                </c:pt>
                <c:pt idx="79">
                  <c:v>4210.180875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B6-44A1-92DE-4DF085536460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Planilha1!$B$3:$B$82</c:f>
              <c:numCache>
                <c:formatCode>General</c:formatCode>
                <c:ptCount val="8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</c:numCache>
            </c:numRef>
          </c:cat>
          <c:val>
            <c:numRef>
              <c:f>Planilha1!$G$3:$G$82</c:f>
              <c:numCache>
                <c:formatCode>General</c:formatCode>
                <c:ptCount val="80"/>
                <c:pt idx="0">
                  <c:v>106371.435</c:v>
                </c:pt>
                <c:pt idx="1">
                  <c:v>106371.435</c:v>
                </c:pt>
                <c:pt idx="2">
                  <c:v>106371.435</c:v>
                </c:pt>
                <c:pt idx="3">
                  <c:v>106371.435</c:v>
                </c:pt>
                <c:pt idx="4">
                  <c:v>106371.435</c:v>
                </c:pt>
                <c:pt idx="5">
                  <c:v>106371.435</c:v>
                </c:pt>
                <c:pt idx="6">
                  <c:v>106371.435</c:v>
                </c:pt>
                <c:pt idx="7">
                  <c:v>106371.435</c:v>
                </c:pt>
                <c:pt idx="8">
                  <c:v>106371.435</c:v>
                </c:pt>
                <c:pt idx="9">
                  <c:v>103376.32626038781</c:v>
                </c:pt>
                <c:pt idx="10">
                  <c:v>99852.668919667587</c:v>
                </c:pt>
                <c:pt idx="11">
                  <c:v>96329.011578947364</c:v>
                </c:pt>
                <c:pt idx="12">
                  <c:v>92805.354238227141</c:v>
                </c:pt>
                <c:pt idx="13">
                  <c:v>89281.696897506918</c:v>
                </c:pt>
                <c:pt idx="14">
                  <c:v>85758.039556786709</c:v>
                </c:pt>
                <c:pt idx="15">
                  <c:v>82234.382216066471</c:v>
                </c:pt>
                <c:pt idx="16">
                  <c:v>78710.724875346263</c:v>
                </c:pt>
                <c:pt idx="17">
                  <c:v>75187.06753462604</c:v>
                </c:pt>
                <c:pt idx="18">
                  <c:v>71663.410193905816</c:v>
                </c:pt>
                <c:pt idx="19">
                  <c:v>33681.447</c:v>
                </c:pt>
                <c:pt idx="20">
                  <c:v>30550.065306122448</c:v>
                </c:pt>
                <c:pt idx="21">
                  <c:v>27835.906611570248</c:v>
                </c:pt>
                <c:pt idx="22">
                  <c:v>25468.012854442342</c:v>
                </c:pt>
                <c:pt idx="23">
                  <c:v>23389.893749999999</c:v>
                </c:pt>
                <c:pt idx="24">
                  <c:v>21556.126079999998</c:v>
                </c:pt>
                <c:pt idx="25">
                  <c:v>19929.850295857988</c:v>
                </c:pt>
                <c:pt idx="26">
                  <c:v>18480.903703703705</c:v>
                </c:pt>
                <c:pt idx="27">
                  <c:v>17184.41173469388</c:v>
                </c:pt>
                <c:pt idx="28">
                  <c:v>16019.713198573128</c:v>
                </c:pt>
                <c:pt idx="29">
                  <c:v>14969.531999999999</c:v>
                </c:pt>
                <c:pt idx="30">
                  <c:v>14019.33277835588</c:v>
                </c:pt>
                <c:pt idx="31">
                  <c:v>13156.815234375001</c:v>
                </c:pt>
                <c:pt idx="32">
                  <c:v>12371.514049586778</c:v>
                </c:pt>
                <c:pt idx="33">
                  <c:v>11654.479930795847</c:v>
                </c:pt>
                <c:pt idx="34">
                  <c:v>10998.023510204082</c:v>
                </c:pt>
                <c:pt idx="35">
                  <c:v>10395.508333333333</c:v>
                </c:pt>
                <c:pt idx="36">
                  <c:v>9841.1824689554433</c:v>
                </c:pt>
                <c:pt idx="37">
                  <c:v>9330.0407202216065</c:v>
                </c:pt>
                <c:pt idx="38">
                  <c:v>8857.711242603551</c:v>
                </c:pt>
                <c:pt idx="39">
                  <c:v>8420.36175</c:v>
                </c:pt>
                <c:pt idx="40">
                  <c:v>8014.6215348007145</c:v>
                </c:pt>
                <c:pt idx="41">
                  <c:v>7637.5163265306119</c:v>
                </c:pt>
                <c:pt idx="42">
                  <c:v>7286.4136289886428</c:v>
                </c:pt>
                <c:pt idx="43">
                  <c:v>6958.976652892562</c:v>
                </c:pt>
                <c:pt idx="44">
                  <c:v>6653.1253333333334</c:v>
                </c:pt>
                <c:pt idx="45">
                  <c:v>6367.0032136105856</c:v>
                </c:pt>
                <c:pt idx="46">
                  <c:v>6098.9492077863288</c:v>
                </c:pt>
                <c:pt idx="47">
                  <c:v>5847.4734374999998</c:v>
                </c:pt>
                <c:pt idx="48">
                  <c:v>5611.2364847980007</c:v>
                </c:pt>
                <c:pt idx="49">
                  <c:v>5389.0315199999995</c:v>
                </c:pt>
                <c:pt idx="50">
                  <c:v>5179.7688581314878</c:v>
                </c:pt>
                <c:pt idx="51">
                  <c:v>4982.4625739644971</c:v>
                </c:pt>
                <c:pt idx="52">
                  <c:v>4796.2188679245282</c:v>
                </c:pt>
                <c:pt idx="53">
                  <c:v>4620.2259259259263</c:v>
                </c:pt>
                <c:pt idx="54">
                  <c:v>4453.7450578512398</c:v>
                </c:pt>
                <c:pt idx="55">
                  <c:v>4296.10293367347</c:v>
                </c:pt>
                <c:pt idx="56">
                  <c:v>4146.6847645429361</c:v>
                </c:pt>
                <c:pt idx="57">
                  <c:v>4004.9282996432821</c:v>
                </c:pt>
                <c:pt idx="58">
                  <c:v>3870.3185291582881</c:v>
                </c:pt>
                <c:pt idx="59">
                  <c:v>3742.3829999999998</c:v>
                </c:pt>
                <c:pt idx="60">
                  <c:v>3620.6876646062892</c:v>
                </c:pt>
                <c:pt idx="61">
                  <c:v>3504.8331945889699</c:v>
                </c:pt>
                <c:pt idx="62">
                  <c:v>3394.4517006802726</c:v>
                </c:pt>
                <c:pt idx="63">
                  <c:v>3289.2038085937502</c:v>
                </c:pt>
                <c:pt idx="64">
                  <c:v>3188.7760473372782</c:v>
                </c:pt>
                <c:pt idx="65">
                  <c:v>3092.8785123966945</c:v>
                </c:pt>
                <c:pt idx="66">
                  <c:v>3001.242771218534</c:v>
                </c:pt>
                <c:pt idx="67">
                  <c:v>2913.6199826989618</c:v>
                </c:pt>
                <c:pt idx="68">
                  <c:v>2829.7792060491493</c:v>
                </c:pt>
                <c:pt idx="69">
                  <c:v>2749.5058775510206</c:v>
                </c:pt>
                <c:pt idx="70">
                  <c:v>2672.600436421345</c:v>
                </c:pt>
                <c:pt idx="71">
                  <c:v>2598.8770833333333</c:v>
                </c:pt>
                <c:pt idx="72">
                  <c:v>2528.1626571589418</c:v>
                </c:pt>
                <c:pt idx="73">
                  <c:v>2460.2956172388608</c:v>
                </c:pt>
                <c:pt idx="74">
                  <c:v>2395.1251200000002</c:v>
                </c:pt>
                <c:pt idx="75">
                  <c:v>2332.5101800554016</c:v>
                </c:pt>
                <c:pt idx="76">
                  <c:v>2272.3189070669591</c:v>
                </c:pt>
                <c:pt idx="77">
                  <c:v>2214.4278106508877</c:v>
                </c:pt>
                <c:pt idx="78">
                  <c:v>2158.721166479731</c:v>
                </c:pt>
                <c:pt idx="79">
                  <c:v>2105.0904375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B6-44A1-92DE-4DF085536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99157344"/>
        <c:axId val="499157760"/>
      </c:lineChart>
      <c:catAx>
        <c:axId val="499157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157760"/>
        <c:crosses val="autoZero"/>
        <c:auto val="1"/>
        <c:lblAlgn val="ctr"/>
        <c:lblOffset val="100"/>
        <c:noMultiLvlLbl val="0"/>
      </c:catAx>
      <c:valAx>
        <c:axId val="499157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MRD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9915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1890345</xdr:colOff>
      <xdr:row>20</xdr:row>
      <xdr:rowOff>47837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579C726-947B-461D-94DB-872F97CDE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106614" cy="3901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1862306</xdr:colOff>
      <xdr:row>15</xdr:row>
      <xdr:rowOff>65942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7517C20-95FE-4304-8F64-C4F648212A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078575" cy="29674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438150</xdr:rowOff>
    </xdr:from>
    <xdr:to>
      <xdr:col>2</xdr:col>
      <xdr:colOff>1400007</xdr:colOff>
      <xdr:row>0</xdr:row>
      <xdr:rowOff>923864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2506EA3-0A5E-48EF-94F5-7DC99F5755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438150"/>
          <a:ext cx="1342857" cy="485714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0</xdr:row>
      <xdr:rowOff>514350</xdr:rowOff>
    </xdr:from>
    <xdr:to>
      <xdr:col>3</xdr:col>
      <xdr:colOff>1647623</xdr:colOff>
      <xdr:row>0</xdr:row>
      <xdr:rowOff>961969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34E0FE29-D487-4D7C-A5FE-2754168435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43200" y="514350"/>
          <a:ext cx="1619048" cy="447619"/>
        </a:xfrm>
        <a:prstGeom prst="rect">
          <a:avLst/>
        </a:prstGeom>
      </xdr:spPr>
    </xdr:pic>
    <xdr:clientData/>
  </xdr:twoCellAnchor>
  <xdr:twoCellAnchor>
    <xdr:from>
      <xdr:col>7</xdr:col>
      <xdr:colOff>447674</xdr:colOff>
      <xdr:row>3</xdr:row>
      <xdr:rowOff>42862</xdr:rowOff>
    </xdr:from>
    <xdr:to>
      <xdr:col>17</xdr:col>
      <xdr:colOff>247649</xdr:colOff>
      <xdr:row>29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849E486-5A95-42BB-B438-55A8389526B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3AFDF-E404-443E-B95D-10DC78F9EA79}">
  <dimension ref="D1:I43"/>
  <sheetViews>
    <sheetView zoomScale="130" zoomScaleNormal="130" workbookViewId="0">
      <selection activeCell="E10" sqref="E10"/>
    </sheetView>
  </sheetViews>
  <sheetFormatPr defaultRowHeight="15" x14ac:dyDescent="0.25"/>
  <cols>
    <col min="1" max="2" width="9.140625" style="1"/>
    <col min="3" max="3" width="28.5703125" style="1" customWidth="1"/>
    <col min="4" max="4" width="11.28515625" style="1" bestFit="1" customWidth="1"/>
    <col min="5" max="5" width="11.5703125" style="1" bestFit="1" customWidth="1"/>
    <col min="6" max="6" width="14.140625" style="1" bestFit="1" customWidth="1"/>
    <col min="7" max="7" width="16.140625" style="1" customWidth="1"/>
    <col min="8" max="8" width="13.28515625" style="1" bestFit="1" customWidth="1"/>
    <col min="9" max="9" width="12.7109375" style="1" customWidth="1"/>
    <col min="10" max="16384" width="9.140625" style="1"/>
  </cols>
  <sheetData>
    <row r="1" spans="4:9" x14ac:dyDescent="0.25">
      <c r="D1" s="26" t="s">
        <v>9</v>
      </c>
      <c r="E1" s="26"/>
      <c r="F1" s="26"/>
      <c r="G1" s="26"/>
      <c r="H1" s="26"/>
      <c r="I1" s="26"/>
    </row>
    <row r="2" spans="4:9" ht="15.75" thickBot="1" x14ac:dyDescent="0.3">
      <c r="D2" s="8" t="s">
        <v>14</v>
      </c>
      <c r="E2" s="2">
        <v>20</v>
      </c>
      <c r="F2" s="8" t="s">
        <v>16</v>
      </c>
      <c r="G2" s="2">
        <v>0.3</v>
      </c>
      <c r="H2" s="8" t="s">
        <v>10</v>
      </c>
      <c r="I2" s="2">
        <v>18</v>
      </c>
    </row>
    <row r="3" spans="4:9" ht="15.75" thickBot="1" x14ac:dyDescent="0.3">
      <c r="D3" s="8" t="s">
        <v>15</v>
      </c>
      <c r="E3" s="2">
        <v>5</v>
      </c>
      <c r="H3" s="1" t="s">
        <v>11</v>
      </c>
      <c r="I3" s="3">
        <v>32</v>
      </c>
    </row>
    <row r="4" spans="4:9" x14ac:dyDescent="0.25">
      <c r="D4" s="26" t="s">
        <v>8</v>
      </c>
      <c r="E4" s="26"/>
      <c r="F4" s="26"/>
      <c r="G4" s="26"/>
      <c r="H4" s="26"/>
      <c r="I4" s="26"/>
    </row>
    <row r="5" spans="4:9" ht="15.75" thickBot="1" x14ac:dyDescent="0.3">
      <c r="D5" s="4" t="s">
        <v>1</v>
      </c>
      <c r="E5" s="2">
        <v>225</v>
      </c>
      <c r="F5" s="4" t="s">
        <v>4</v>
      </c>
      <c r="G5" s="2">
        <v>-40</v>
      </c>
      <c r="H5" s="4" t="s">
        <v>7</v>
      </c>
      <c r="I5" s="2">
        <v>12</v>
      </c>
    </row>
    <row r="6" spans="4:9" ht="15.75" thickBot="1" x14ac:dyDescent="0.3">
      <c r="D6" s="4" t="s">
        <v>2</v>
      </c>
      <c r="E6" s="2">
        <v>75</v>
      </c>
      <c r="F6" s="4" t="s">
        <v>5</v>
      </c>
      <c r="G6" s="3"/>
      <c r="H6" s="22" t="s">
        <v>56</v>
      </c>
      <c r="I6" s="3">
        <v>30</v>
      </c>
    </row>
    <row r="7" spans="4:9" ht="15.75" thickBot="1" x14ac:dyDescent="0.3">
      <c r="D7" s="4" t="s">
        <v>3</v>
      </c>
      <c r="E7" s="2">
        <v>75</v>
      </c>
      <c r="F7" s="4" t="s">
        <v>6</v>
      </c>
      <c r="G7" s="3">
        <v>902</v>
      </c>
      <c r="H7" s="4" t="s">
        <v>0</v>
      </c>
      <c r="I7" s="3">
        <v>1</v>
      </c>
    </row>
    <row r="8" spans="4:9" ht="15.75" thickBot="1" x14ac:dyDescent="0.3">
      <c r="H8" s="4" t="s">
        <v>26</v>
      </c>
      <c r="I8" s="3">
        <v>1</v>
      </c>
    </row>
    <row r="9" spans="4:9" x14ac:dyDescent="0.25">
      <c r="D9" s="26" t="s">
        <v>12</v>
      </c>
      <c r="E9" s="26"/>
      <c r="F9" s="26"/>
      <c r="G9" s="26"/>
      <c r="H9" s="26"/>
      <c r="I9" s="26"/>
    </row>
    <row r="10" spans="4:9" x14ac:dyDescent="0.25">
      <c r="D10" s="7" t="s">
        <v>13</v>
      </c>
      <c r="E10" s="9">
        <f>((E2-4*G2)+1.571*1.5*G2*2+(E3-2*G2)*2)*G2</f>
        <v>8.7041700000000013</v>
      </c>
      <c r="F10" s="6" t="s">
        <v>21</v>
      </c>
      <c r="G10" s="9">
        <f>2*G2/E10*((E3-2*G2)*(0.5*(E3-2*G2)+1.5*G2)+1.571*1.5*G2*(0.363*1.5*G2))+0.5*G2</f>
        <v>0.96171302599788389</v>
      </c>
    </row>
    <row r="11" spans="4:9" x14ac:dyDescent="0.25">
      <c r="D11" s="7" t="s">
        <v>17</v>
      </c>
      <c r="E11" s="9">
        <f>(((E3-2*G2)*(E2/2-0.5*G2)^2)*2+2*((0.149)*(1.5*G2)^3+1.571*1.5*G2*(E2/2-2*G2+0.637*1.5*G2)^2)+((E2-4*G2)^3)/12)*G2</f>
        <v>462.06472168333789</v>
      </c>
      <c r="F11" s="6" t="s">
        <v>22</v>
      </c>
      <c r="G11" s="9">
        <f>(E3-0.5*G2)*((3*(E2-G2)^2*E3-0.5*G2)/((E2-G2)^3+(E3-0.5*G2)*6*(E2-G2)^2))+G10-0.5*G2</f>
        <v>2.3024533013016102</v>
      </c>
      <c r="H11" s="5"/>
      <c r="I11" s="5"/>
    </row>
    <row r="12" spans="4:9" x14ac:dyDescent="0.25">
      <c r="D12" s="7" t="s">
        <v>18</v>
      </c>
      <c r="E12" s="9">
        <f>E11/(0.5*E2)</f>
        <v>46.206472168333789</v>
      </c>
      <c r="F12" s="6" t="s">
        <v>23</v>
      </c>
      <c r="G12" s="10">
        <f>0.333*G2^3*((E2-4*G2)+2*E3-2*G2+2*1.571*1.5*G2)</f>
        <v>0.26625857490000004</v>
      </c>
      <c r="H12" s="5"/>
      <c r="I12" s="5"/>
    </row>
    <row r="13" spans="4:9" x14ac:dyDescent="0.25">
      <c r="D13" s="7" t="s">
        <v>19</v>
      </c>
      <c r="E13" s="9">
        <f>(2*G2)*((E3-2*G2)*(0.5*(E3-2*G2)+1.5*G2)^2+0.083*(E3-2*G2)^3+0.356*(1.5*G2)^3)-E10*(G10-0.5*G2)^2</f>
        <v>17.066041060388116</v>
      </c>
      <c r="F13" s="7" t="s">
        <v>25</v>
      </c>
      <c r="G13" s="11">
        <f>((E2-G2)^2*(E3-0.5*G2)^2*G2)/12*((2*((E2-G2)^3)*(E3-0.5*G2)+3*(E2-G2)^2*(E3-0.5*G2)^2)/(6*(E2-G2)^2*(E3-0.5*G2)+(E2-G2)^3))</f>
        <v>1223.6840627274266</v>
      </c>
      <c r="H13" s="5"/>
      <c r="I13" s="5"/>
    </row>
    <row r="14" spans="4:9" x14ac:dyDescent="0.25">
      <c r="D14" s="7" t="s">
        <v>20</v>
      </c>
      <c r="E14" s="9">
        <f>E13/(E3-G10)</f>
        <v>4.2260595074735212</v>
      </c>
      <c r="F14" s="7" t="s">
        <v>24</v>
      </c>
      <c r="G14" s="9">
        <f>E10*0.785</f>
        <v>6.8327734500000012</v>
      </c>
      <c r="H14" s="5"/>
      <c r="I14" s="5"/>
    </row>
    <row r="15" spans="4:9" x14ac:dyDescent="0.25">
      <c r="D15" s="5"/>
      <c r="E15" s="5"/>
      <c r="F15" s="5"/>
      <c r="G15" s="5"/>
      <c r="H15" s="5"/>
      <c r="I15" s="5"/>
    </row>
    <row r="16" spans="4:9" x14ac:dyDescent="0.25">
      <c r="D16" s="26" t="s">
        <v>27</v>
      </c>
      <c r="E16" s="26"/>
      <c r="F16" s="26"/>
      <c r="G16" s="26"/>
      <c r="H16" s="26"/>
      <c r="I16" s="26"/>
    </row>
    <row r="17" spans="4:9" x14ac:dyDescent="0.25">
      <c r="D17" s="27" t="s">
        <v>45</v>
      </c>
      <c r="E17" s="27"/>
      <c r="F17" s="27"/>
      <c r="G17" s="27"/>
      <c r="H17" s="27"/>
      <c r="I17" s="27"/>
    </row>
    <row r="18" spans="4:9" x14ac:dyDescent="0.25">
      <c r="D18" s="18" t="s">
        <v>28</v>
      </c>
      <c r="E18" s="13">
        <f>(E10*I2)/1.1</f>
        <v>142.43187272727275</v>
      </c>
      <c r="F18" s="18" t="s">
        <v>29</v>
      </c>
      <c r="G18" s="13">
        <f>I8*E10*I3/1.65</f>
        <v>168.8081454545455</v>
      </c>
      <c r="H18" s="7" t="s">
        <v>30</v>
      </c>
      <c r="I18" s="14">
        <f>IF(G5&gt;0,G5/(MIN(G18,E18)),0)</f>
        <v>0</v>
      </c>
    </row>
    <row r="20" spans="4:9" x14ac:dyDescent="0.25">
      <c r="D20" s="27" t="s">
        <v>44</v>
      </c>
      <c r="E20" s="27"/>
      <c r="F20" s="27"/>
      <c r="G20" s="27"/>
      <c r="H20" s="27"/>
      <c r="I20" s="27"/>
    </row>
    <row r="21" spans="4:9" x14ac:dyDescent="0.25">
      <c r="D21" s="15" t="s">
        <v>33</v>
      </c>
      <c r="E21" s="5">
        <f>E3/E2</f>
        <v>0.25</v>
      </c>
      <c r="F21" s="16" t="s">
        <v>34</v>
      </c>
      <c r="G21" s="9">
        <f>4+3.4*E21+21.8*E21^2-174.3*E21^3+319.9*E21^4-237.6*E21^5+63.6*E21^6</f>
        <v>4.5221679687499989</v>
      </c>
      <c r="H21" s="12" t="s">
        <v>32</v>
      </c>
      <c r="I21" s="9">
        <f>((PI()^2)*20000)/((12*(1-0.3^2)*(E2/G2)^2))*G21*E10</f>
        <v>160.08980472221239</v>
      </c>
    </row>
    <row r="22" spans="4:9" x14ac:dyDescent="0.25">
      <c r="D22" s="15" t="s">
        <v>36</v>
      </c>
      <c r="E22" s="13">
        <f>((PI()^2)*20000*E11)/(E5^2)</f>
        <v>1801.6379301586176</v>
      </c>
      <c r="F22" s="15" t="s">
        <v>37</v>
      </c>
      <c r="G22" s="13">
        <f>((PI()^2)*20000*E13)/(E6^2)</f>
        <v>598.88026296454484</v>
      </c>
      <c r="H22" s="12" t="s">
        <v>38</v>
      </c>
      <c r="I22" s="9">
        <f>(((PI()^2)*20000*G13)/(E7^2)+7700*G12)/(G23)</f>
        <v>745.54357268905017</v>
      </c>
    </row>
    <row r="23" spans="4:9" x14ac:dyDescent="0.25">
      <c r="D23" s="12" t="s">
        <v>42</v>
      </c>
      <c r="E23" s="9">
        <f>(E22+I22)/(2*(1-(G11/SQRT(G23))^2))*(1-SQRT((1-((4*E22*I22*(1-(G11/SQRT(G23))^2))/(E22+I22)^2))))</f>
        <v>705.63457206731459</v>
      </c>
      <c r="F23" s="12" t="s">
        <v>39</v>
      </c>
      <c r="G23" s="9">
        <f>(E11+E13)/E10+G11^2</f>
        <v>60.347408496010438</v>
      </c>
      <c r="H23" s="15" t="s">
        <v>41</v>
      </c>
      <c r="I23" s="9">
        <f>SQRT(E10*I2/MIN(G22,I22,E22,E23))</f>
        <v>0.5114815052616295</v>
      </c>
    </row>
    <row r="24" spans="4:9" x14ac:dyDescent="0.25">
      <c r="D24" s="15" t="s">
        <v>40</v>
      </c>
      <c r="E24" s="9">
        <f>IF(I23&lt;=1.5,0.658^(I23^2),0.877/(I23^2))</f>
        <v>0.89628364294459228</v>
      </c>
      <c r="F24" s="15" t="s">
        <v>35</v>
      </c>
      <c r="G24" s="9">
        <f>SQRT((E24*E10*I2)/(I21))</f>
        <v>0.93657127301163234</v>
      </c>
      <c r="H24" s="12" t="s">
        <v>31</v>
      </c>
      <c r="I24" s="9">
        <f>IF(((1-0.15/(G24^0.8))/G24^0.8)*E10&gt;E10,E10,((1-0.15/(G24^0.8))/G24^0.8)*E10)</f>
        <v>7.7226964943406395</v>
      </c>
    </row>
    <row r="25" spans="4:9" x14ac:dyDescent="0.25">
      <c r="F25" s="18" t="s">
        <v>43</v>
      </c>
      <c r="G25" s="9">
        <f>E24*I24*I2/1.2</f>
        <v>103.82589820954591</v>
      </c>
      <c r="H25" s="12" t="s">
        <v>30</v>
      </c>
      <c r="I25" s="14">
        <f>IF(G5&lt;0,ABS(G5)/(G25),0)</f>
        <v>0.38526033186123054</v>
      </c>
    </row>
    <row r="26" spans="4:9" x14ac:dyDescent="0.25">
      <c r="H26" s="5"/>
      <c r="I26" s="5"/>
    </row>
    <row r="27" spans="4:9" x14ac:dyDescent="0.25">
      <c r="D27" s="27" t="s">
        <v>46</v>
      </c>
      <c r="E27" s="27"/>
      <c r="F27" s="27"/>
      <c r="G27" s="27"/>
      <c r="H27" s="27"/>
      <c r="I27" s="27"/>
    </row>
    <row r="28" spans="4:9" x14ac:dyDescent="0.25">
      <c r="D28" s="15" t="s">
        <v>33</v>
      </c>
      <c r="E28" s="5">
        <f>E3/E2</f>
        <v>0.25</v>
      </c>
      <c r="F28" s="16" t="s">
        <v>34</v>
      </c>
      <c r="G28" s="9">
        <f>E28^(-1.843)</f>
        <v>12.87053393507065</v>
      </c>
      <c r="H28" s="12" t="s">
        <v>47</v>
      </c>
      <c r="I28" s="9">
        <f>((PI()^2)*20000)/((12*(1-0.3^2)*(E2/G2)^2))*G28*E12</f>
        <v>2418.7389401066762</v>
      </c>
    </row>
    <row r="29" spans="4:9" x14ac:dyDescent="0.25">
      <c r="D29" s="15" t="s">
        <v>35</v>
      </c>
      <c r="E29" s="9">
        <f>SQRT(E12*I2/I28)</f>
        <v>0.58639891780369291</v>
      </c>
      <c r="F29" s="12" t="s">
        <v>48</v>
      </c>
      <c r="G29" s="9">
        <f>IF((1-0.22/E29)*(1/E29)*E12&gt;E12,E12,(1-0.22/E29)*(1/E29)*E12)</f>
        <v>46.206472168333789</v>
      </c>
      <c r="H29" s="23" t="s">
        <v>49</v>
      </c>
      <c r="I29" s="9">
        <f>G29*I2/1.1</f>
        <v>756.10590820909829</v>
      </c>
    </row>
    <row r="30" spans="4:9" x14ac:dyDescent="0.25">
      <c r="D30" s="15" t="s">
        <v>50</v>
      </c>
      <c r="E30" s="20">
        <f>I7*SQRT(G23)*SQRT(G22*I22)</f>
        <v>5190.8183105893504</v>
      </c>
      <c r="F30" s="15" t="s">
        <v>41</v>
      </c>
      <c r="G30" s="9">
        <f>SQRT(E12*I2/E30)</f>
        <v>0.40028539492024573</v>
      </c>
      <c r="H30" s="21" t="s">
        <v>51</v>
      </c>
      <c r="I30" s="9">
        <f>IF(G30&lt;=0.6,1,IF(G30&gt;=1.336,1/(G30^2),1.11*(1-0.278*G30^2)))</f>
        <v>1</v>
      </c>
    </row>
    <row r="31" spans="4:9" x14ac:dyDescent="0.25">
      <c r="D31" s="23" t="s">
        <v>52</v>
      </c>
      <c r="E31" s="17">
        <f>I30*G29*I2/1.1</f>
        <v>756.10590820909829</v>
      </c>
      <c r="F31" s="19" t="s">
        <v>53</v>
      </c>
      <c r="G31" s="9">
        <f>MIN(I29,E31)</f>
        <v>756.10590820909829</v>
      </c>
      <c r="H31" s="12" t="s">
        <v>30</v>
      </c>
      <c r="I31" s="14">
        <f>G6/G31</f>
        <v>0</v>
      </c>
    </row>
    <row r="33" spans="4:9" x14ac:dyDescent="0.25">
      <c r="D33" s="27" t="s">
        <v>55</v>
      </c>
      <c r="E33" s="27"/>
      <c r="F33" s="27"/>
      <c r="G33" s="27"/>
      <c r="H33" s="27"/>
      <c r="I33" s="27"/>
    </row>
    <row r="34" spans="4:9" x14ac:dyDescent="0.25">
      <c r="D34" s="15" t="s">
        <v>57</v>
      </c>
      <c r="E34" s="9">
        <f>IF(I6&lt;=0,5,5+5/(I6/(E2-4*G2)^2))</f>
        <v>63.906666666666673</v>
      </c>
      <c r="F34" s="15" t="s">
        <v>35</v>
      </c>
      <c r="G34" s="9">
        <f>1.08*SQRT(20000*E34/I2)</f>
        <v>287.78992338162226</v>
      </c>
      <c r="H34" s="15" t="s">
        <v>58</v>
      </c>
      <c r="I34" s="9">
        <f>1.4*SQRT(20000*E34/I2)</f>
        <v>373.06101179099176</v>
      </c>
    </row>
    <row r="35" spans="4:9" x14ac:dyDescent="0.25">
      <c r="D35" s="12" t="s">
        <v>60</v>
      </c>
      <c r="E35" s="5">
        <f>(E2-4*G2)/G2</f>
        <v>62.666666666666671</v>
      </c>
      <c r="F35" s="18" t="s">
        <v>59</v>
      </c>
      <c r="G35" s="9">
        <f>IF(E35&lt;=G34,0.6*I2*(E2-4*G2)*G2/1.1,IF(E35&gt;=I34,0.905*20000*E34*G2^3/((E2-4*G2)*1.1),0.65*G2^2*SQRT(E34*I2*20000)/1.1))</f>
        <v>55.374545454545441</v>
      </c>
      <c r="H35" s="12" t="s">
        <v>30</v>
      </c>
      <c r="I35" s="14">
        <f>I5/G35</f>
        <v>0.21670606776989762</v>
      </c>
    </row>
    <row r="37" spans="4:9" x14ac:dyDescent="0.25">
      <c r="D37" s="27" t="s">
        <v>61</v>
      </c>
      <c r="E37" s="27"/>
      <c r="F37" s="27"/>
      <c r="G37" s="27"/>
      <c r="H37" s="27"/>
      <c r="I37" s="27"/>
    </row>
    <row r="38" spans="4:9" x14ac:dyDescent="0.25">
      <c r="D38" s="15" t="s">
        <v>63</v>
      </c>
      <c r="E38" s="9">
        <f>(G6/G31)^2</f>
        <v>0</v>
      </c>
      <c r="F38" s="15" t="s">
        <v>64</v>
      </c>
      <c r="G38" s="9">
        <f>(I5/G35)^2</f>
        <v>4.6961519808291462E-2</v>
      </c>
      <c r="H38" s="15" t="s">
        <v>65</v>
      </c>
      <c r="I38" s="14">
        <f>E38+G38</f>
        <v>4.6961519808291462E-2</v>
      </c>
    </row>
    <row r="40" spans="4:9" x14ac:dyDescent="0.25">
      <c r="D40" s="27" t="s">
        <v>66</v>
      </c>
      <c r="E40" s="27"/>
      <c r="F40" s="27"/>
      <c r="G40" s="27"/>
      <c r="H40" s="27"/>
      <c r="I40" s="27"/>
    </row>
    <row r="41" spans="4:9" x14ac:dyDescent="0.25">
      <c r="D41" s="6" t="s">
        <v>67</v>
      </c>
      <c r="E41" s="17">
        <f>(MAX(I25,I18))</f>
        <v>0.38526033186123054</v>
      </c>
      <c r="F41" s="6" t="s">
        <v>62</v>
      </c>
      <c r="G41" s="17">
        <f>I31</f>
        <v>0</v>
      </c>
      <c r="H41" s="6" t="s">
        <v>65</v>
      </c>
      <c r="I41" s="14">
        <f>G41+E41</f>
        <v>0.38526033186123054</v>
      </c>
    </row>
    <row r="43" spans="4:9" x14ac:dyDescent="0.25">
      <c r="D43" s="1" t="s">
        <v>68</v>
      </c>
      <c r="E43" s="14">
        <f>MAX(I41,I38,I35,I31,I25,I18)</f>
        <v>0.38526033186123054</v>
      </c>
      <c r="F43" s="1" t="str">
        <f>IF(E43&lt;=1,"OK, PERFIL APROVADO","PERFIL REPROVADO")</f>
        <v>OK, PERFIL APROVADO</v>
      </c>
    </row>
  </sheetData>
  <mergeCells count="10">
    <mergeCell ref="D27:I27"/>
    <mergeCell ref="D33:I33"/>
    <mergeCell ref="D37:I37"/>
    <mergeCell ref="D40:I40"/>
    <mergeCell ref="D4:I4"/>
    <mergeCell ref="D1:I1"/>
    <mergeCell ref="D9:I9"/>
    <mergeCell ref="D16:I16"/>
    <mergeCell ref="D20:I20"/>
    <mergeCell ref="D17:I17"/>
  </mergeCells>
  <conditionalFormatting sqref="I18">
    <cfRule type="dataBar" priority="8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{793EBDBA-6DA7-4FF8-928F-20BAF6297756}</x14:id>
        </ext>
      </extLst>
    </cfRule>
  </conditionalFormatting>
  <conditionalFormatting sqref="I25">
    <cfRule type="dataBar" priority="7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{6C9A7FFB-AD78-400F-BC85-7C26159322F4}</x14:id>
        </ext>
      </extLst>
    </cfRule>
  </conditionalFormatting>
  <conditionalFormatting sqref="I31">
    <cfRule type="dataBar" priority="6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{8A2CAB81-313C-4E56-820D-09B87BD150EA}</x14:id>
        </ext>
      </extLst>
    </cfRule>
  </conditionalFormatting>
  <conditionalFormatting sqref="I35">
    <cfRule type="dataBar" priority="4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{8AD7D572-2D26-453D-863B-72F1603BFC1F}</x14:id>
        </ext>
      </extLst>
    </cfRule>
  </conditionalFormatting>
  <conditionalFormatting sqref="I38">
    <cfRule type="dataBar" priority="3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{CE50B518-AFA0-4699-AA9C-1F16CB25772D}</x14:id>
        </ext>
      </extLst>
    </cfRule>
  </conditionalFormatting>
  <conditionalFormatting sqref="I41">
    <cfRule type="dataBar" priority="2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{C3F459FA-C5C6-4215-B21F-639135A30E42}</x14:id>
        </ext>
      </extLst>
    </cfRule>
  </conditionalFormatting>
  <conditionalFormatting sqref="E43">
    <cfRule type="dataBar" priority="1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{DADDC0FE-AC4F-40A0-A6FF-3C65776A8C4A}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93EBDBA-6DA7-4FF8-928F-20BAF6297756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I18</xm:sqref>
        </x14:conditionalFormatting>
        <x14:conditionalFormatting xmlns:xm="http://schemas.microsoft.com/office/excel/2006/main">
          <x14:cfRule type="dataBar" id="{6C9A7FFB-AD78-400F-BC85-7C26159322F4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I25</xm:sqref>
        </x14:conditionalFormatting>
        <x14:conditionalFormatting xmlns:xm="http://schemas.microsoft.com/office/excel/2006/main">
          <x14:cfRule type="dataBar" id="{8A2CAB81-313C-4E56-820D-09B87BD150EA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I31</xm:sqref>
        </x14:conditionalFormatting>
        <x14:conditionalFormatting xmlns:xm="http://schemas.microsoft.com/office/excel/2006/main">
          <x14:cfRule type="dataBar" id="{8AD7D572-2D26-453D-863B-72F1603BFC1F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I35</xm:sqref>
        </x14:conditionalFormatting>
        <x14:conditionalFormatting xmlns:xm="http://schemas.microsoft.com/office/excel/2006/main">
          <x14:cfRule type="dataBar" id="{CE50B518-AFA0-4699-AA9C-1F16CB25772D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I38</xm:sqref>
        </x14:conditionalFormatting>
        <x14:conditionalFormatting xmlns:xm="http://schemas.microsoft.com/office/excel/2006/main">
          <x14:cfRule type="dataBar" id="{C3F459FA-C5C6-4215-B21F-639135A30E42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I41</xm:sqref>
        </x14:conditionalFormatting>
        <x14:conditionalFormatting xmlns:xm="http://schemas.microsoft.com/office/excel/2006/main">
          <x14:cfRule type="dataBar" id="{DADDC0FE-AC4F-40A0-A6FF-3C65776A8C4A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9C19E-DA72-4171-8ECB-1CE919D479BE}">
  <dimension ref="A1:I43"/>
  <sheetViews>
    <sheetView zoomScale="130" zoomScaleNormal="130" workbookViewId="0">
      <selection activeCell="G3" sqref="G3"/>
    </sheetView>
  </sheetViews>
  <sheetFormatPr defaultRowHeight="15" x14ac:dyDescent="0.25"/>
  <cols>
    <col min="1" max="2" width="9.140625" style="1"/>
    <col min="3" max="3" width="28.5703125" style="1" customWidth="1"/>
    <col min="4" max="4" width="11.28515625" style="1" bestFit="1" customWidth="1"/>
    <col min="5" max="5" width="11.5703125" style="1" bestFit="1" customWidth="1"/>
    <col min="6" max="6" width="14.140625" style="1" bestFit="1" customWidth="1"/>
    <col min="7" max="7" width="16.140625" style="1" customWidth="1"/>
    <col min="8" max="8" width="13.28515625" style="1" bestFit="1" customWidth="1"/>
    <col min="9" max="9" width="12.7109375" style="1" customWidth="1"/>
    <col min="10" max="16384" width="9.140625" style="1"/>
  </cols>
  <sheetData>
    <row r="1" spans="4:9" x14ac:dyDescent="0.25">
      <c r="D1" s="26" t="s">
        <v>9</v>
      </c>
      <c r="E1" s="26"/>
      <c r="F1" s="26"/>
      <c r="G1" s="26"/>
      <c r="H1" s="26"/>
      <c r="I1" s="26"/>
    </row>
    <row r="2" spans="4:9" ht="15.75" thickBot="1" x14ac:dyDescent="0.3">
      <c r="D2" s="8" t="s">
        <v>14</v>
      </c>
      <c r="E2" s="2">
        <v>20</v>
      </c>
      <c r="F2" s="8" t="s">
        <v>16</v>
      </c>
      <c r="G2" s="24">
        <v>0.3</v>
      </c>
      <c r="H2" s="8" t="s">
        <v>10</v>
      </c>
      <c r="I2" s="2">
        <v>24</v>
      </c>
    </row>
    <row r="3" spans="4:9" ht="15.75" thickBot="1" x14ac:dyDescent="0.3">
      <c r="D3" s="8" t="s">
        <v>15</v>
      </c>
      <c r="E3" s="2">
        <v>7.5</v>
      </c>
      <c r="F3" s="8" t="s">
        <v>69</v>
      </c>
      <c r="G3" s="2">
        <v>2</v>
      </c>
      <c r="H3" s="1" t="s">
        <v>11</v>
      </c>
      <c r="I3" s="3">
        <v>38</v>
      </c>
    </row>
    <row r="4" spans="4:9" x14ac:dyDescent="0.25">
      <c r="D4" s="26" t="s">
        <v>8</v>
      </c>
      <c r="E4" s="26"/>
      <c r="F4" s="26"/>
      <c r="G4" s="26"/>
      <c r="H4" s="26"/>
      <c r="I4" s="26"/>
    </row>
    <row r="5" spans="4:9" ht="15.75" thickBot="1" x14ac:dyDescent="0.3">
      <c r="D5" s="4" t="s">
        <v>1</v>
      </c>
      <c r="E5" s="2">
        <v>1250</v>
      </c>
      <c r="F5" s="4" t="s">
        <v>4</v>
      </c>
      <c r="G5" s="2">
        <v>0</v>
      </c>
      <c r="H5" s="4" t="s">
        <v>7</v>
      </c>
      <c r="I5" s="2">
        <v>0</v>
      </c>
    </row>
    <row r="6" spans="4:9" ht="15.75" thickBot="1" x14ac:dyDescent="0.3">
      <c r="D6" s="4" t="s">
        <v>2</v>
      </c>
      <c r="E6" s="2">
        <v>180</v>
      </c>
      <c r="F6" s="4" t="s">
        <v>5</v>
      </c>
      <c r="G6" s="3">
        <v>970</v>
      </c>
      <c r="H6" s="22" t="s">
        <v>56</v>
      </c>
      <c r="I6" s="3">
        <v>0</v>
      </c>
    </row>
    <row r="7" spans="4:9" ht="15.75" thickBot="1" x14ac:dyDescent="0.3">
      <c r="D7" s="4" t="s">
        <v>3</v>
      </c>
      <c r="E7" s="2">
        <v>180</v>
      </c>
      <c r="F7" s="4" t="s">
        <v>6</v>
      </c>
      <c r="G7" s="3"/>
      <c r="H7" s="4" t="s">
        <v>0</v>
      </c>
      <c r="I7" s="3">
        <v>1</v>
      </c>
    </row>
    <row r="8" spans="4:9" ht="15.75" thickBot="1" x14ac:dyDescent="0.3">
      <c r="H8" s="4" t="s">
        <v>26</v>
      </c>
      <c r="I8" s="3">
        <v>1</v>
      </c>
    </row>
    <row r="9" spans="4:9" x14ac:dyDescent="0.25">
      <c r="D9" s="26" t="s">
        <v>12</v>
      </c>
      <c r="E9" s="26"/>
      <c r="F9" s="26"/>
      <c r="G9" s="26"/>
      <c r="H9" s="26"/>
      <c r="I9" s="26"/>
    </row>
    <row r="10" spans="4:9" x14ac:dyDescent="0.25">
      <c r="D10" s="12" t="s">
        <v>13</v>
      </c>
      <c r="E10" s="9">
        <f>((E2-4*G2)+2*(E3-4*G2)+2*(G3-2*G2)+4*(1.571*(1.5*G2)))*G2</f>
        <v>11.108339999999997</v>
      </c>
      <c r="F10" s="6" t="s">
        <v>21</v>
      </c>
      <c r="G10" s="9">
        <f>2*G2*((E3-4*G2)*(0.5*(E3-4*G2)+1.5*G2)+(1.571*1.5*G2+(G3-2*G2))*(E3-4*G2+2*1.5*G2))/E10+0.5*G2</f>
        <v>2.1944120363618684</v>
      </c>
    </row>
    <row r="11" spans="4:9" x14ac:dyDescent="0.25">
      <c r="D11" s="12" t="s">
        <v>17</v>
      </c>
      <c r="E11" s="9">
        <f>2*G2*(0.042*(E2-4*G2)^3+(E3-4*G2)*(0.5*(E2-4*G2)+1.5*G2)^2+2*(1.571*1.5*G2)*(0.5*(E2-4*G2)+0.637*1.5*G2)^2+0.298*(1.5*G2)^3+0.083*(G3-2*G2)^2+0.25*(G3-2*G2)*((E2-4*G2)-(G3-2*G2))^2)</f>
        <v>677.48503576667565</v>
      </c>
      <c r="F11" s="6" t="s">
        <v>22</v>
      </c>
      <c r="G11" s="9">
        <f>B25*(3*(B24^2)*B25+B26*(6*(B24^2)-8*(B26^2)))/((B24^3)+6*(B24^2)*B25+B26*(8*(B26^2)-12*B24*B26+6*(B24^2)))+G10-0.5*G2</f>
        <v>5.2992920920867235</v>
      </c>
      <c r="H11" s="5"/>
      <c r="I11" s="5"/>
    </row>
    <row r="12" spans="4:9" x14ac:dyDescent="0.25">
      <c r="D12" s="12" t="s">
        <v>18</v>
      </c>
      <c r="E12" s="9">
        <f>E11/(0.5*E2)</f>
        <v>67.748503576667559</v>
      </c>
      <c r="F12" s="6" t="s">
        <v>23</v>
      </c>
      <c r="G12" s="10">
        <f>0.333*G2^3*((E2-4*G2)+2*E3-2*G2+2*1.571*1.5*G2)</f>
        <v>0.31121357489999996</v>
      </c>
      <c r="H12" s="5"/>
      <c r="I12" s="5"/>
    </row>
    <row r="13" spans="4:9" x14ac:dyDescent="0.25">
      <c r="D13" s="12" t="s">
        <v>19</v>
      </c>
      <c r="E13" s="25">
        <f>2*G2*((E3-4*G2)*(0.5*(E3-4*G2)+1.5*G2)^2+0.083*(E3-4*G2)^3+0.505*(1.5*G2)^3+(G3-2*G2)*((E3-4*G2)+2*1.5*G2)^2+(1.571*1.5*G2)*((E3-4*G2)+1.637*1.5*G2)^2)-E10*(G10-0.5*G2)^2</f>
        <v>79.588246445020914</v>
      </c>
      <c r="F13" s="12" t="s">
        <v>25</v>
      </c>
      <c r="G13" s="11">
        <f>((B24^2)*(B25^2)*G2/12)*(((2*(B24^3)*B25+3*(B24^2)*(B25^2)+48*(B26^4)+112*(B25*(B26^3))+8*B24*(B26^3)+48*B24*B25*(B26^2)+12*(B24^2)*(B26^3)+12*(B24^2)*B25*B26+6*(B24^3)*B26))/(6*(B24^2)*B25+((B24+2*B26)^3)-24*B24*(B26^2)))</f>
        <v>6778.0819898006048</v>
      </c>
      <c r="H13" s="5"/>
      <c r="I13" s="5"/>
    </row>
    <row r="14" spans="4:9" x14ac:dyDescent="0.25">
      <c r="D14" s="12" t="s">
        <v>20</v>
      </c>
      <c r="E14" s="9">
        <f>E13/(E3-G10)</f>
        <v>15.000834401479963</v>
      </c>
      <c r="F14" s="12" t="s">
        <v>24</v>
      </c>
      <c r="G14" s="9">
        <f>E10*0.785</f>
        <v>8.720046899999998</v>
      </c>
      <c r="H14" s="5"/>
      <c r="I14" s="5"/>
    </row>
    <row r="15" spans="4:9" x14ac:dyDescent="0.25">
      <c r="D15" s="5"/>
      <c r="E15" s="5"/>
      <c r="F15" s="5"/>
      <c r="G15" s="5"/>
      <c r="H15" s="5"/>
      <c r="I15" s="5"/>
    </row>
    <row r="16" spans="4:9" x14ac:dyDescent="0.25">
      <c r="D16" s="26" t="s">
        <v>27</v>
      </c>
      <c r="E16" s="26"/>
      <c r="F16" s="26"/>
      <c r="G16" s="26"/>
      <c r="H16" s="26"/>
      <c r="I16" s="26"/>
    </row>
    <row r="17" spans="1:9" x14ac:dyDescent="0.25">
      <c r="D17" s="27" t="s">
        <v>45</v>
      </c>
      <c r="E17" s="27"/>
      <c r="F17" s="27"/>
      <c r="G17" s="27"/>
      <c r="H17" s="27"/>
      <c r="I17" s="27"/>
    </row>
    <row r="18" spans="1:9" x14ac:dyDescent="0.25">
      <c r="D18" s="18" t="s">
        <v>28</v>
      </c>
      <c r="E18" s="13">
        <f>(E10*I2)/1.1</f>
        <v>242.36378181818171</v>
      </c>
      <c r="F18" s="18" t="s">
        <v>29</v>
      </c>
      <c r="G18" s="13">
        <f>I8*E10*I3/1.65</f>
        <v>255.82843636363631</v>
      </c>
      <c r="H18" s="12" t="s">
        <v>30</v>
      </c>
      <c r="I18" s="14">
        <f>IF(G5&gt;0,G5/(MIN(G18,E18)),0)</f>
        <v>0</v>
      </c>
    </row>
    <row r="20" spans="1:9" x14ac:dyDescent="0.25">
      <c r="D20" s="27" t="s">
        <v>44</v>
      </c>
      <c r="E20" s="27"/>
      <c r="F20" s="27"/>
      <c r="G20" s="27"/>
      <c r="H20" s="27"/>
      <c r="I20" s="27"/>
    </row>
    <row r="21" spans="1:9" x14ac:dyDescent="0.25">
      <c r="D21" s="15" t="s">
        <v>54</v>
      </c>
      <c r="E21" s="5">
        <f>E3/E2</f>
        <v>0.375</v>
      </c>
      <c r="F21" s="16" t="s">
        <v>34</v>
      </c>
      <c r="G21" s="9">
        <f>6.8-5.8*E21+9.2*(E21^2)-6*(E21^3)</f>
        <v>5.6023437500000002</v>
      </c>
      <c r="H21" s="12" t="s">
        <v>32</v>
      </c>
      <c r="I21" s="9">
        <f>((PI()^2)*20000)/((12*(1-0.3^2)*(E2/G2)^2))*G21*E10</f>
        <v>253.1095534708447</v>
      </c>
    </row>
    <row r="22" spans="1:9" x14ac:dyDescent="0.25">
      <c r="D22" s="15" t="s">
        <v>36</v>
      </c>
      <c r="E22" s="13">
        <f>((PI()^2)*20000*E11)/(E5^2)</f>
        <v>85.587318920639518</v>
      </c>
      <c r="F22" s="15" t="s">
        <v>37</v>
      </c>
      <c r="G22" s="13">
        <f>((PI()^2)*20000*E13)/(E6^2)</f>
        <v>484.87932554861902</v>
      </c>
      <c r="H22" s="12" t="s">
        <v>38</v>
      </c>
      <c r="I22" s="9">
        <f>(((PI()^2)*20000*G13)/(E7^2)+7700*G12)/(G23)</f>
        <v>453.99581023133709</v>
      </c>
    </row>
    <row r="23" spans="1:9" x14ac:dyDescent="0.25">
      <c r="D23" s="12" t="s">
        <v>42</v>
      </c>
      <c r="E23" s="9">
        <f>(E22+I22)/(2*(1-(G11/SQRT(G23))^2))*(1-SQRT((1-((4*E22*I22*(1-(G11/SQRT(G23))^2))/(E22+I22)^2))))</f>
        <v>80.521386710905134</v>
      </c>
      <c r="F23" s="12" t="s">
        <v>39</v>
      </c>
      <c r="G23" s="9">
        <f>(E11+E13)/E10+G11^2</f>
        <v>96.236089582376138</v>
      </c>
      <c r="H23" s="15" t="s">
        <v>41</v>
      </c>
      <c r="I23" s="9">
        <f>SQRT(E10*I2/MIN(G22,I22,E22,E23))</f>
        <v>1.8195943518794464</v>
      </c>
    </row>
    <row r="24" spans="1:9" x14ac:dyDescent="0.25">
      <c r="A24" s="1" t="s">
        <v>70</v>
      </c>
      <c r="B24" s="1">
        <f>E2-G2</f>
        <v>19.7</v>
      </c>
      <c r="D24" s="15" t="s">
        <v>40</v>
      </c>
      <c r="E24" s="9">
        <f>IF(I23&lt;=1.5,0.658^(I23^2),0.877/(I23^2))</f>
        <v>0.26488077180997877</v>
      </c>
      <c r="F24" s="15" t="s">
        <v>35</v>
      </c>
      <c r="G24" s="9">
        <f>SQRT((E24*E10*I2)/(I21))</f>
        <v>0.52820334920044243</v>
      </c>
      <c r="H24" s="12" t="s">
        <v>31</v>
      </c>
      <c r="I24" s="9">
        <f>IF(((1-0.15/(G24^0.8))/G24^0.8)*E10&gt;E10,E10,((1-0.15/(G24^0.8))/G24^0.8)*E10)</f>
        <v>11.108339999999997</v>
      </c>
    </row>
    <row r="25" spans="1:9" x14ac:dyDescent="0.25">
      <c r="A25" s="1" t="s">
        <v>71</v>
      </c>
      <c r="B25" s="1">
        <f>E3-G2</f>
        <v>7.2</v>
      </c>
      <c r="F25" s="18" t="s">
        <v>43</v>
      </c>
      <c r="G25" s="9">
        <f>E24*I24*I2/1.2</f>
        <v>58.84771345455318</v>
      </c>
      <c r="H25" s="12" t="s">
        <v>30</v>
      </c>
      <c r="I25" s="14">
        <f>IF(G5&lt;0,ABS(G5)/(G25),0)</f>
        <v>0</v>
      </c>
    </row>
    <row r="26" spans="1:9" x14ac:dyDescent="0.25">
      <c r="A26" s="1" t="s">
        <v>72</v>
      </c>
      <c r="B26" s="1">
        <f>G3-0.5*G2</f>
        <v>1.85</v>
      </c>
      <c r="H26" s="5"/>
      <c r="I26" s="5"/>
    </row>
    <row r="27" spans="1:9" x14ac:dyDescent="0.25">
      <c r="D27" s="27" t="s">
        <v>46</v>
      </c>
      <c r="E27" s="27"/>
      <c r="F27" s="27"/>
      <c r="G27" s="27"/>
      <c r="H27" s="27"/>
      <c r="I27" s="27"/>
    </row>
    <row r="28" spans="1:9" x14ac:dyDescent="0.25">
      <c r="D28" s="15" t="s">
        <v>33</v>
      </c>
      <c r="E28" s="5">
        <f>E3/E2</f>
        <v>0.375</v>
      </c>
      <c r="F28" s="16" t="s">
        <v>34</v>
      </c>
      <c r="G28" s="9">
        <f>I31-E32*(G31-0.2)</f>
        <v>27.011375427246094</v>
      </c>
      <c r="H28" s="12" t="s">
        <v>47</v>
      </c>
      <c r="I28" s="9">
        <f>((PI()^2)*20000)/((12*(1-0.3^2)*(E2/G2)^2))*G28*E12</f>
        <v>7442.7944813814702</v>
      </c>
    </row>
    <row r="29" spans="1:9" x14ac:dyDescent="0.25">
      <c r="D29" s="15" t="s">
        <v>35</v>
      </c>
      <c r="E29" s="9">
        <f>SQRT(E12*I2/I28)</f>
        <v>0.46739865775692979</v>
      </c>
      <c r="F29" s="12" t="s">
        <v>48</v>
      </c>
      <c r="G29" s="9">
        <f>IF((1-0.22/E29)*(1/E29)*E12&gt;E12,E12,(1-0.22/E29)*(1/E29)*E12)</f>
        <v>67.748503576667559</v>
      </c>
      <c r="H29" s="23" t="s">
        <v>49</v>
      </c>
      <c r="I29" s="9">
        <f>G29*I2/1.1</f>
        <v>1478.149168945474</v>
      </c>
    </row>
    <row r="30" spans="1:9" x14ac:dyDescent="0.25">
      <c r="D30" s="15" t="s">
        <v>50</v>
      </c>
      <c r="E30" s="20">
        <f>I7*SQRT(G23)*SQRT(G22*I22)</f>
        <v>4602.6901534524341</v>
      </c>
      <c r="F30" s="15" t="s">
        <v>41</v>
      </c>
      <c r="G30" s="9">
        <f>SQRT(E12*I2/E30)</f>
        <v>0.59436004163957168</v>
      </c>
      <c r="H30" s="21" t="s">
        <v>51</v>
      </c>
      <c r="I30" s="9">
        <f>IF(G30&lt;=0.6,1,IF(G30&gt;=1.336,1/(G30^2),1.11*(1-0.278*G30^2)))</f>
        <v>1</v>
      </c>
    </row>
    <row r="31" spans="1:9" x14ac:dyDescent="0.25">
      <c r="D31" s="23" t="s">
        <v>52</v>
      </c>
      <c r="E31" s="17">
        <f>I30*G29*I2/1.1</f>
        <v>1478.149168945474</v>
      </c>
      <c r="F31" s="15" t="s">
        <v>73</v>
      </c>
      <c r="G31" s="5">
        <f>G3/E2</f>
        <v>0.1</v>
      </c>
      <c r="H31" s="12" t="s">
        <v>74</v>
      </c>
      <c r="I31" s="20">
        <f>81-730*E28+4261*E28^2-12304*E28^3+17919*E28^4-12796*E28^5+3574*E28^6</f>
        <v>27.011375427246094</v>
      </c>
    </row>
    <row r="32" spans="1:9" x14ac:dyDescent="0.25">
      <c r="D32" s="12" t="s">
        <v>75</v>
      </c>
      <c r="E32" s="1">
        <f>IF(AND(G31&gt;=0.2,G31&lt;0.3,E28&gt;=0.6,E28&lt;1),0,IF(AND(G31&gt;=0.1,G31&lt;0.2,E28&gt;=0.2,E28&lt;1)=TRUE,0,320-2788*E28+13458*E28^2-27667*E28^3+19167*E28^4))</f>
        <v>0</v>
      </c>
      <c r="F32" s="19" t="s">
        <v>53</v>
      </c>
      <c r="G32" s="9">
        <f>MIN(I29,E31)</f>
        <v>1478.149168945474</v>
      </c>
      <c r="H32" s="12" t="s">
        <v>30</v>
      </c>
      <c r="I32" s="14">
        <f>G6/G32</f>
        <v>0.65622605646222254</v>
      </c>
    </row>
    <row r="33" spans="4:9" x14ac:dyDescent="0.25">
      <c r="D33" s="27" t="s">
        <v>55</v>
      </c>
      <c r="E33" s="27"/>
      <c r="F33" s="27"/>
      <c r="G33" s="27"/>
      <c r="H33" s="27"/>
      <c r="I33" s="27"/>
    </row>
    <row r="34" spans="4:9" x14ac:dyDescent="0.25">
      <c r="D34" s="15" t="s">
        <v>57</v>
      </c>
      <c r="E34" s="9">
        <f>IF(I6&lt;=0,5,5+5/(I6/(E2-4*G2)^2))</f>
        <v>5</v>
      </c>
      <c r="F34" s="15" t="s">
        <v>35</v>
      </c>
      <c r="G34" s="9">
        <f>1.08*SQRT(20000*E34/I2)</f>
        <v>69.713700231733512</v>
      </c>
      <c r="H34" s="15" t="s">
        <v>58</v>
      </c>
      <c r="I34" s="9">
        <f>1.4*SQRT(20000*E34/I2)</f>
        <v>90.369611411506398</v>
      </c>
    </row>
    <row r="35" spans="4:9" x14ac:dyDescent="0.25">
      <c r="D35" s="12" t="s">
        <v>60</v>
      </c>
      <c r="E35" s="5">
        <f>(E2-4*G2)/G2</f>
        <v>62.666666666666671</v>
      </c>
      <c r="F35" s="18" t="s">
        <v>59</v>
      </c>
      <c r="G35" s="9">
        <f>IF(E35&lt;=G34,0.6*I2*(E2-4*G2)*G2/1.1,IF(E35&gt;=I34,0.905*20000*E34*G2^3/((E2-4*G2)*1.1),0.65*G2^2*SQRT(E34*I2*20000)/1.1))</f>
        <v>73.832727272727254</v>
      </c>
      <c r="H35" s="12" t="s">
        <v>30</v>
      </c>
      <c r="I35" s="14">
        <f>I5/G35</f>
        <v>0</v>
      </c>
    </row>
    <row r="37" spans="4:9" x14ac:dyDescent="0.25">
      <c r="D37" s="27" t="s">
        <v>61</v>
      </c>
      <c r="E37" s="27"/>
      <c r="F37" s="27"/>
      <c r="G37" s="27"/>
      <c r="H37" s="27"/>
      <c r="I37" s="27"/>
    </row>
    <row r="38" spans="4:9" x14ac:dyDescent="0.25">
      <c r="D38" s="15" t="s">
        <v>63</v>
      </c>
      <c r="E38" s="9">
        <f>(G6/G32)^2</f>
        <v>0.43063263717996009</v>
      </c>
      <c r="F38" s="15" t="s">
        <v>64</v>
      </c>
      <c r="G38" s="9">
        <f>(I5/G35)^2</f>
        <v>0</v>
      </c>
      <c r="H38" s="15" t="s">
        <v>65</v>
      </c>
      <c r="I38" s="14">
        <f>E38+G38</f>
        <v>0.43063263717996009</v>
      </c>
    </row>
    <row r="40" spans="4:9" x14ac:dyDescent="0.25">
      <c r="D40" s="27" t="s">
        <v>66</v>
      </c>
      <c r="E40" s="27"/>
      <c r="F40" s="27"/>
      <c r="G40" s="27"/>
      <c r="H40" s="27"/>
      <c r="I40" s="27"/>
    </row>
    <row r="41" spans="4:9" x14ac:dyDescent="0.25">
      <c r="D41" s="6" t="s">
        <v>67</v>
      </c>
      <c r="E41" s="17">
        <f>(MAX(I25,I18))</f>
        <v>0</v>
      </c>
      <c r="F41" s="6" t="s">
        <v>62</v>
      </c>
      <c r="G41" s="17">
        <f>I32</f>
        <v>0.65622605646222254</v>
      </c>
      <c r="H41" s="6" t="s">
        <v>65</v>
      </c>
      <c r="I41" s="14">
        <f>G41+E41</f>
        <v>0.65622605646222254</v>
      </c>
    </row>
    <row r="43" spans="4:9" x14ac:dyDescent="0.25">
      <c r="D43" s="1" t="s">
        <v>68</v>
      </c>
      <c r="E43" s="14">
        <f>MAX(I41,I38,I35,I32,I25,I18)</f>
        <v>0.65622605646222254</v>
      </c>
      <c r="F43" s="1" t="str">
        <f>IF(E43&lt;=1,"OK, PERFIL APROVADO","PERFIL REPROVADO")</f>
        <v>OK, PERFIL APROVADO</v>
      </c>
    </row>
  </sheetData>
  <mergeCells count="10">
    <mergeCell ref="D27:I27"/>
    <mergeCell ref="D33:I33"/>
    <mergeCell ref="D37:I37"/>
    <mergeCell ref="D40:I40"/>
    <mergeCell ref="D1:I1"/>
    <mergeCell ref="D4:I4"/>
    <mergeCell ref="D9:I9"/>
    <mergeCell ref="D16:I16"/>
    <mergeCell ref="D17:I17"/>
    <mergeCell ref="D20:I20"/>
  </mergeCells>
  <conditionalFormatting sqref="I18">
    <cfRule type="dataBar" priority="7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{90688297-1677-4140-9CAA-EC754B29CE09}</x14:id>
        </ext>
      </extLst>
    </cfRule>
  </conditionalFormatting>
  <conditionalFormatting sqref="I25">
    <cfRule type="dataBar" priority="6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{4DAF9BAA-9F69-4382-BA55-747738721ACB}</x14:id>
        </ext>
      </extLst>
    </cfRule>
  </conditionalFormatting>
  <conditionalFormatting sqref="I32">
    <cfRule type="dataBar" priority="5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{E575CDB1-2DAD-43FF-BD99-A4C2DC833F20}</x14:id>
        </ext>
      </extLst>
    </cfRule>
  </conditionalFormatting>
  <conditionalFormatting sqref="I35">
    <cfRule type="dataBar" priority="4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{775518EB-F3C2-4893-B582-3B9A0B337F0E}</x14:id>
        </ext>
      </extLst>
    </cfRule>
  </conditionalFormatting>
  <conditionalFormatting sqref="I38">
    <cfRule type="dataBar" priority="3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{12C9AAC1-9991-41FF-8210-BA33E9E5F67E}</x14:id>
        </ext>
      </extLst>
    </cfRule>
  </conditionalFormatting>
  <conditionalFormatting sqref="I41">
    <cfRule type="dataBar" priority="2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{0F1CF1DE-D000-4A46-940A-DD9ECFEC6978}</x14:id>
        </ext>
      </extLst>
    </cfRule>
  </conditionalFormatting>
  <conditionalFormatting sqref="E43">
    <cfRule type="dataBar" priority="1">
      <dataBar>
        <cfvo type="num" val="0"/>
        <cfvo type="num" val="1"/>
        <color rgb="FFFFC000"/>
      </dataBar>
      <extLst>
        <ext xmlns:x14="http://schemas.microsoft.com/office/spreadsheetml/2009/9/main" uri="{B025F937-C7B1-47D3-B67F-A62EFF666E3E}">
          <x14:id>{FA07D735-8C6D-425E-9627-3664C06398A2}</x14:id>
        </ext>
      </extLst>
    </cfRule>
  </conditionalFormatting>
  <pageMargins left="0.511811024" right="0.511811024" top="0.78740157499999996" bottom="0.78740157499999996" header="0.31496062000000002" footer="0.31496062000000002"/>
  <pageSetup paperSize="9" orientation="portrait" horizontalDpi="360" verticalDpi="36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0688297-1677-4140-9CAA-EC754B29CE09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I18</xm:sqref>
        </x14:conditionalFormatting>
        <x14:conditionalFormatting xmlns:xm="http://schemas.microsoft.com/office/excel/2006/main">
          <x14:cfRule type="dataBar" id="{4DAF9BAA-9F69-4382-BA55-747738721ACB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I25</xm:sqref>
        </x14:conditionalFormatting>
        <x14:conditionalFormatting xmlns:xm="http://schemas.microsoft.com/office/excel/2006/main">
          <x14:cfRule type="dataBar" id="{E575CDB1-2DAD-43FF-BD99-A4C2DC833F20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I32</xm:sqref>
        </x14:conditionalFormatting>
        <x14:conditionalFormatting xmlns:xm="http://schemas.microsoft.com/office/excel/2006/main">
          <x14:cfRule type="dataBar" id="{775518EB-F3C2-4893-B582-3B9A0B337F0E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I35</xm:sqref>
        </x14:conditionalFormatting>
        <x14:conditionalFormatting xmlns:xm="http://schemas.microsoft.com/office/excel/2006/main">
          <x14:cfRule type="dataBar" id="{12C9AAC1-9991-41FF-8210-BA33E9E5F67E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I38</xm:sqref>
        </x14:conditionalFormatting>
        <x14:conditionalFormatting xmlns:xm="http://schemas.microsoft.com/office/excel/2006/main">
          <x14:cfRule type="dataBar" id="{0F1CF1DE-D000-4A46-940A-DD9ECFEC6978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I41</xm:sqref>
        </x14:conditionalFormatting>
        <x14:conditionalFormatting xmlns:xm="http://schemas.microsoft.com/office/excel/2006/main">
          <x14:cfRule type="dataBar" id="{FA07D735-8C6D-425E-9627-3664C06398A2}">
            <x14:dataBar minLength="0" maxLength="100" gradient="0" direction="leftToRight">
              <x14:cfvo type="num">
                <xm:f>0</xm:f>
              </x14:cfvo>
              <x14:cfvo type="num">
                <xm:f>1</xm:f>
              </x14:cfvo>
              <x14:negativeFillColor rgb="FFFF0000"/>
              <x14:axisColor rgb="FF000000"/>
            </x14:dataBar>
          </x14:cfRule>
          <xm:sqref>E43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4FD239-3A1E-46D4-B193-2E1F738C0A5E}">
  <dimension ref="A1:N82"/>
  <sheetViews>
    <sheetView tabSelected="1" workbookViewId="0">
      <selection activeCell="D8" sqref="D8"/>
    </sheetView>
  </sheetViews>
  <sheetFormatPr defaultRowHeight="15" x14ac:dyDescent="0.25"/>
  <cols>
    <col min="3" max="3" width="22.42578125" customWidth="1"/>
    <col min="4" max="5" width="27" customWidth="1"/>
    <col min="6" max="6" width="12" bestFit="1" customWidth="1"/>
    <col min="7" max="7" width="15.28515625" bestFit="1" customWidth="1"/>
  </cols>
  <sheetData>
    <row r="1" spans="1:14" ht="76.5" customHeight="1" x14ac:dyDescent="0.25">
      <c r="A1" t="s">
        <v>86</v>
      </c>
      <c r="B1" t="s">
        <v>79</v>
      </c>
      <c r="E1" t="s">
        <v>83</v>
      </c>
      <c r="F1">
        <v>3083.23</v>
      </c>
      <c r="G1">
        <v>34.5</v>
      </c>
      <c r="H1" t="s">
        <v>84</v>
      </c>
      <c r="I1">
        <f>F1*G1</f>
        <v>106371.435</v>
      </c>
      <c r="K1" t="s">
        <v>85</v>
      </c>
      <c r="L1">
        <v>2824.44</v>
      </c>
      <c r="M1" t="s">
        <v>87</v>
      </c>
      <c r="N1">
        <f>(G1-0.3*G1)*2824.44</f>
        <v>68210.225999999995</v>
      </c>
    </row>
    <row r="2" spans="1:14" x14ac:dyDescent="0.25">
      <c r="B2" t="s">
        <v>76</v>
      </c>
      <c r="C2" t="s">
        <v>77</v>
      </c>
      <c r="D2" t="s">
        <v>78</v>
      </c>
      <c r="E2" t="s">
        <v>82</v>
      </c>
      <c r="F2" t="s">
        <v>80</v>
      </c>
      <c r="G2" t="s">
        <v>81</v>
      </c>
    </row>
    <row r="3" spans="1:14" x14ac:dyDescent="0.25">
      <c r="B3">
        <v>1</v>
      </c>
      <c r="C3">
        <v>9.15</v>
      </c>
      <c r="D3">
        <v>19.98</v>
      </c>
      <c r="E3" t="str">
        <f>IF(AND(B3&gt;C3,B3&lt;=D3),"Semi-Compacto",IF(B3&lt;C3,"Compacto","Esbelto"))</f>
        <v>Compacto</v>
      </c>
      <c r="F3" s="28">
        <f>IF(E3="Semi-Compacto",($I$1-($I$1-$N$1)*((B3-C3)/(D3-C3))),IF(E3="Esbelto",(0.9*20000*0.53/(B3^2))*$L$1,$I$1))</f>
        <v>106371.435</v>
      </c>
      <c r="G3">
        <f>IF(E3="Semi-Compacto",($I$1-($I$1-$N$1)*((B3-C3)/(D3-C3))),IF(E3="Esbelto",(0.9*20000*0.53/(B3^2))*0.5*$L$1,$I$1))</f>
        <v>106371.435</v>
      </c>
    </row>
    <row r="4" spans="1:14" x14ac:dyDescent="0.25">
      <c r="B4">
        <v>2</v>
      </c>
      <c r="C4">
        <v>9.15</v>
      </c>
      <c r="D4">
        <v>19.98</v>
      </c>
      <c r="E4" t="str">
        <f t="shared" ref="E4:E67" si="0">IF(AND(B4&gt;C4,B4&lt;=D4),"Semi-Compacto",IF(B4&lt;C4,"Compacto","Esbelto"))</f>
        <v>Compacto</v>
      </c>
      <c r="F4" s="28">
        <f t="shared" ref="F4:F67" si="1">IF(E4="Semi-Compacto",($I$1-($I$1-$N$1)*((B4-C4)/(D4-C4))),IF(E4="Esbelto",(0.9*20000*0.53/(B4^2))*$L$1,$I$1))</f>
        <v>106371.435</v>
      </c>
      <c r="G4">
        <f t="shared" ref="G4:G67" si="2">IF(E4="Semi-Compacto",($I$1-($I$1-$N$1)*((B4-C4)/(D4-C4))),IF(E4="Esbelto",(0.9*20000*0.53/(B4^2))*0.5*$L$1,$I$1))</f>
        <v>106371.435</v>
      </c>
    </row>
    <row r="5" spans="1:14" x14ac:dyDescent="0.25">
      <c r="B5">
        <v>3</v>
      </c>
      <c r="C5">
        <v>9.15</v>
      </c>
      <c r="D5">
        <v>19.98</v>
      </c>
      <c r="E5" t="str">
        <f t="shared" si="0"/>
        <v>Compacto</v>
      </c>
      <c r="F5" s="28">
        <f t="shared" si="1"/>
        <v>106371.435</v>
      </c>
      <c r="G5">
        <f t="shared" si="2"/>
        <v>106371.435</v>
      </c>
    </row>
    <row r="6" spans="1:14" x14ac:dyDescent="0.25">
      <c r="B6">
        <v>4</v>
      </c>
      <c r="C6">
        <v>9.15</v>
      </c>
      <c r="D6">
        <v>19.98</v>
      </c>
      <c r="E6" t="str">
        <f t="shared" si="0"/>
        <v>Compacto</v>
      </c>
      <c r="F6" s="28">
        <f t="shared" si="1"/>
        <v>106371.435</v>
      </c>
      <c r="G6">
        <f t="shared" si="2"/>
        <v>106371.435</v>
      </c>
    </row>
    <row r="7" spans="1:14" x14ac:dyDescent="0.25">
      <c r="B7">
        <v>5</v>
      </c>
      <c r="C7">
        <v>9.15</v>
      </c>
      <c r="D7">
        <v>19.98</v>
      </c>
      <c r="E7" t="str">
        <f t="shared" si="0"/>
        <v>Compacto</v>
      </c>
      <c r="F7" s="28">
        <f t="shared" si="1"/>
        <v>106371.435</v>
      </c>
      <c r="G7">
        <f t="shared" si="2"/>
        <v>106371.435</v>
      </c>
    </row>
    <row r="8" spans="1:14" x14ac:dyDescent="0.25">
      <c r="B8">
        <v>6</v>
      </c>
      <c r="C8">
        <v>9.15</v>
      </c>
      <c r="D8">
        <v>19.98</v>
      </c>
      <c r="E8" t="str">
        <f t="shared" si="0"/>
        <v>Compacto</v>
      </c>
      <c r="F8" s="28">
        <f t="shared" si="1"/>
        <v>106371.435</v>
      </c>
      <c r="G8">
        <f t="shared" si="2"/>
        <v>106371.435</v>
      </c>
    </row>
    <row r="9" spans="1:14" x14ac:dyDescent="0.25">
      <c r="B9">
        <v>7</v>
      </c>
      <c r="C9">
        <v>9.15</v>
      </c>
      <c r="D9">
        <v>19.98</v>
      </c>
      <c r="E9" t="str">
        <f t="shared" si="0"/>
        <v>Compacto</v>
      </c>
      <c r="F9" s="28">
        <f t="shared" si="1"/>
        <v>106371.435</v>
      </c>
      <c r="G9">
        <f t="shared" si="2"/>
        <v>106371.435</v>
      </c>
    </row>
    <row r="10" spans="1:14" x14ac:dyDescent="0.25">
      <c r="B10">
        <v>8</v>
      </c>
      <c r="C10">
        <v>9.15</v>
      </c>
      <c r="D10">
        <v>19.98</v>
      </c>
      <c r="E10" t="str">
        <f t="shared" si="0"/>
        <v>Compacto</v>
      </c>
      <c r="F10" s="28">
        <f t="shared" si="1"/>
        <v>106371.435</v>
      </c>
      <c r="G10">
        <f t="shared" si="2"/>
        <v>106371.435</v>
      </c>
    </row>
    <row r="11" spans="1:14" x14ac:dyDescent="0.25">
      <c r="B11">
        <v>9</v>
      </c>
      <c r="C11">
        <v>9.15</v>
      </c>
      <c r="D11">
        <v>19.98</v>
      </c>
      <c r="E11" t="str">
        <f t="shared" si="0"/>
        <v>Compacto</v>
      </c>
      <c r="F11" s="28">
        <f t="shared" si="1"/>
        <v>106371.435</v>
      </c>
      <c r="G11">
        <f t="shared" si="2"/>
        <v>106371.435</v>
      </c>
    </row>
    <row r="12" spans="1:14" x14ac:dyDescent="0.25">
      <c r="B12">
        <v>10</v>
      </c>
      <c r="C12">
        <v>9.15</v>
      </c>
      <c r="D12">
        <v>19.98</v>
      </c>
      <c r="E12" t="str">
        <f t="shared" si="0"/>
        <v>Semi-Compacto</v>
      </c>
      <c r="F12" s="28">
        <f t="shared" si="1"/>
        <v>103376.32626038781</v>
      </c>
      <c r="G12">
        <f t="shared" si="2"/>
        <v>103376.32626038781</v>
      </c>
    </row>
    <row r="13" spans="1:14" x14ac:dyDescent="0.25">
      <c r="B13">
        <v>11</v>
      </c>
      <c r="C13">
        <v>9.15</v>
      </c>
      <c r="D13">
        <v>19.98</v>
      </c>
      <c r="E13" t="str">
        <f t="shared" si="0"/>
        <v>Semi-Compacto</v>
      </c>
      <c r="F13" s="28">
        <f t="shared" si="1"/>
        <v>99852.668919667587</v>
      </c>
      <c r="G13">
        <f t="shared" si="2"/>
        <v>99852.668919667587</v>
      </c>
    </row>
    <row r="14" spans="1:14" x14ac:dyDescent="0.25">
      <c r="B14">
        <v>12</v>
      </c>
      <c r="C14">
        <v>9.15</v>
      </c>
      <c r="D14">
        <v>19.98</v>
      </c>
      <c r="E14" t="str">
        <f t="shared" si="0"/>
        <v>Semi-Compacto</v>
      </c>
      <c r="F14" s="28">
        <f t="shared" si="1"/>
        <v>96329.011578947364</v>
      </c>
      <c r="G14">
        <f t="shared" si="2"/>
        <v>96329.011578947364</v>
      </c>
    </row>
    <row r="15" spans="1:14" x14ac:dyDescent="0.25">
      <c r="B15">
        <v>13</v>
      </c>
      <c r="C15">
        <v>9.15</v>
      </c>
      <c r="D15">
        <v>19.98</v>
      </c>
      <c r="E15" t="str">
        <f t="shared" si="0"/>
        <v>Semi-Compacto</v>
      </c>
      <c r="F15" s="28">
        <f t="shared" si="1"/>
        <v>92805.354238227141</v>
      </c>
      <c r="G15">
        <f t="shared" si="2"/>
        <v>92805.354238227141</v>
      </c>
    </row>
    <row r="16" spans="1:14" x14ac:dyDescent="0.25">
      <c r="B16">
        <v>14</v>
      </c>
      <c r="C16">
        <v>9.15</v>
      </c>
      <c r="D16">
        <v>19.98</v>
      </c>
      <c r="E16" t="str">
        <f t="shared" si="0"/>
        <v>Semi-Compacto</v>
      </c>
      <c r="F16" s="28">
        <f t="shared" si="1"/>
        <v>89281.696897506918</v>
      </c>
      <c r="G16">
        <f t="shared" si="2"/>
        <v>89281.696897506918</v>
      </c>
    </row>
    <row r="17" spans="2:7" x14ac:dyDescent="0.25">
      <c r="B17">
        <v>15</v>
      </c>
      <c r="C17">
        <v>9.15</v>
      </c>
      <c r="D17">
        <v>19.98</v>
      </c>
      <c r="E17" t="str">
        <f t="shared" si="0"/>
        <v>Semi-Compacto</v>
      </c>
      <c r="F17" s="28">
        <f t="shared" si="1"/>
        <v>85758.039556786709</v>
      </c>
      <c r="G17">
        <f t="shared" si="2"/>
        <v>85758.039556786709</v>
      </c>
    </row>
    <row r="18" spans="2:7" x14ac:dyDescent="0.25">
      <c r="B18">
        <v>16</v>
      </c>
      <c r="C18">
        <v>9.15</v>
      </c>
      <c r="D18">
        <v>19.98</v>
      </c>
      <c r="E18" t="str">
        <f t="shared" si="0"/>
        <v>Semi-Compacto</v>
      </c>
      <c r="F18" s="28">
        <f t="shared" si="1"/>
        <v>82234.382216066471</v>
      </c>
      <c r="G18">
        <f t="shared" si="2"/>
        <v>82234.382216066471</v>
      </c>
    </row>
    <row r="19" spans="2:7" x14ac:dyDescent="0.25">
      <c r="B19">
        <v>17</v>
      </c>
      <c r="C19">
        <v>9.15</v>
      </c>
      <c r="D19">
        <v>19.98</v>
      </c>
      <c r="E19" t="str">
        <f t="shared" si="0"/>
        <v>Semi-Compacto</v>
      </c>
      <c r="F19" s="28">
        <f t="shared" si="1"/>
        <v>78710.724875346263</v>
      </c>
      <c r="G19">
        <f t="shared" si="2"/>
        <v>78710.724875346263</v>
      </c>
    </row>
    <row r="20" spans="2:7" x14ac:dyDescent="0.25">
      <c r="B20">
        <v>18</v>
      </c>
      <c r="C20">
        <v>9.15</v>
      </c>
      <c r="D20">
        <v>19.98</v>
      </c>
      <c r="E20" t="str">
        <f t="shared" si="0"/>
        <v>Semi-Compacto</v>
      </c>
      <c r="F20" s="28">
        <f t="shared" si="1"/>
        <v>75187.06753462604</v>
      </c>
      <c r="G20">
        <f t="shared" si="2"/>
        <v>75187.06753462604</v>
      </c>
    </row>
    <row r="21" spans="2:7" x14ac:dyDescent="0.25">
      <c r="B21">
        <v>19</v>
      </c>
      <c r="C21">
        <v>9.15</v>
      </c>
      <c r="D21">
        <v>19.98</v>
      </c>
      <c r="E21" t="str">
        <f t="shared" si="0"/>
        <v>Semi-Compacto</v>
      </c>
      <c r="F21" s="28">
        <f t="shared" si="1"/>
        <v>71663.410193905816</v>
      </c>
      <c r="G21">
        <f t="shared" si="2"/>
        <v>71663.410193905816</v>
      </c>
    </row>
    <row r="22" spans="2:7" x14ac:dyDescent="0.25">
      <c r="B22">
        <v>20</v>
      </c>
      <c r="C22">
        <v>9.15</v>
      </c>
      <c r="D22">
        <v>19.98</v>
      </c>
      <c r="E22" t="str">
        <f t="shared" si="0"/>
        <v>Esbelto</v>
      </c>
      <c r="F22" s="28">
        <f t="shared" si="1"/>
        <v>67362.894</v>
      </c>
      <c r="G22">
        <f t="shared" si="2"/>
        <v>33681.447</v>
      </c>
    </row>
    <row r="23" spans="2:7" x14ac:dyDescent="0.25">
      <c r="B23">
        <v>21</v>
      </c>
      <c r="C23">
        <v>9.15</v>
      </c>
      <c r="D23">
        <v>19.98</v>
      </c>
      <c r="E23" t="str">
        <f t="shared" si="0"/>
        <v>Esbelto</v>
      </c>
      <c r="F23" s="28">
        <f t="shared" si="1"/>
        <v>61100.130612244895</v>
      </c>
      <c r="G23">
        <f t="shared" si="2"/>
        <v>30550.065306122448</v>
      </c>
    </row>
    <row r="24" spans="2:7" x14ac:dyDescent="0.25">
      <c r="B24">
        <v>22</v>
      </c>
      <c r="C24">
        <v>9.15</v>
      </c>
      <c r="D24">
        <v>19.98</v>
      </c>
      <c r="E24" t="str">
        <f t="shared" si="0"/>
        <v>Esbelto</v>
      </c>
      <c r="F24" s="28">
        <f t="shared" si="1"/>
        <v>55671.813223140496</v>
      </c>
      <c r="G24">
        <f t="shared" si="2"/>
        <v>27835.906611570248</v>
      </c>
    </row>
    <row r="25" spans="2:7" x14ac:dyDescent="0.25">
      <c r="B25">
        <v>23</v>
      </c>
      <c r="C25">
        <v>9.15</v>
      </c>
      <c r="D25">
        <v>19.98</v>
      </c>
      <c r="E25" t="str">
        <f t="shared" si="0"/>
        <v>Esbelto</v>
      </c>
      <c r="F25" s="28">
        <f t="shared" si="1"/>
        <v>50936.025708884685</v>
      </c>
      <c r="G25">
        <f t="shared" si="2"/>
        <v>25468.012854442342</v>
      </c>
    </row>
    <row r="26" spans="2:7" x14ac:dyDescent="0.25">
      <c r="B26">
        <v>24</v>
      </c>
      <c r="C26">
        <v>9.15</v>
      </c>
      <c r="D26">
        <v>19.98</v>
      </c>
      <c r="E26" t="str">
        <f t="shared" si="0"/>
        <v>Esbelto</v>
      </c>
      <c r="F26" s="28">
        <f t="shared" si="1"/>
        <v>46779.787499999999</v>
      </c>
      <c r="G26">
        <f t="shared" si="2"/>
        <v>23389.893749999999</v>
      </c>
    </row>
    <row r="27" spans="2:7" x14ac:dyDescent="0.25">
      <c r="B27">
        <v>25</v>
      </c>
      <c r="C27">
        <v>9.15</v>
      </c>
      <c r="D27">
        <v>19.98</v>
      </c>
      <c r="E27" t="str">
        <f t="shared" si="0"/>
        <v>Esbelto</v>
      </c>
      <c r="F27" s="28">
        <f t="shared" si="1"/>
        <v>43112.252159999996</v>
      </c>
      <c r="G27">
        <f t="shared" si="2"/>
        <v>21556.126079999998</v>
      </c>
    </row>
    <row r="28" spans="2:7" x14ac:dyDescent="0.25">
      <c r="B28">
        <v>26</v>
      </c>
      <c r="C28">
        <v>9.15</v>
      </c>
      <c r="D28">
        <v>19.98</v>
      </c>
      <c r="E28" t="str">
        <f t="shared" si="0"/>
        <v>Esbelto</v>
      </c>
      <c r="F28" s="28">
        <f t="shared" si="1"/>
        <v>39859.700591715977</v>
      </c>
      <c r="G28">
        <f t="shared" si="2"/>
        <v>19929.850295857988</v>
      </c>
    </row>
    <row r="29" spans="2:7" x14ac:dyDescent="0.25">
      <c r="B29">
        <v>27</v>
      </c>
      <c r="C29">
        <v>9.15</v>
      </c>
      <c r="D29">
        <v>19.98</v>
      </c>
      <c r="E29" t="str">
        <f t="shared" si="0"/>
        <v>Esbelto</v>
      </c>
      <c r="F29" s="28">
        <f t="shared" si="1"/>
        <v>36961.80740740741</v>
      </c>
      <c r="G29">
        <f t="shared" si="2"/>
        <v>18480.903703703705</v>
      </c>
    </row>
    <row r="30" spans="2:7" x14ac:dyDescent="0.25">
      <c r="B30">
        <v>28</v>
      </c>
      <c r="C30">
        <v>9.15</v>
      </c>
      <c r="D30">
        <v>19.98</v>
      </c>
      <c r="E30" t="str">
        <f t="shared" si="0"/>
        <v>Esbelto</v>
      </c>
      <c r="F30" s="28">
        <f t="shared" si="1"/>
        <v>34368.82346938776</v>
      </c>
      <c r="G30">
        <f t="shared" si="2"/>
        <v>17184.41173469388</v>
      </c>
    </row>
    <row r="31" spans="2:7" x14ac:dyDescent="0.25">
      <c r="B31">
        <v>29</v>
      </c>
      <c r="C31">
        <v>9.15</v>
      </c>
      <c r="D31">
        <v>19.98</v>
      </c>
      <c r="E31" t="str">
        <f t="shared" si="0"/>
        <v>Esbelto</v>
      </c>
      <c r="F31" s="28">
        <f t="shared" si="1"/>
        <v>32039.426397146257</v>
      </c>
      <c r="G31">
        <f t="shared" si="2"/>
        <v>16019.713198573128</v>
      </c>
    </row>
    <row r="32" spans="2:7" x14ac:dyDescent="0.25">
      <c r="B32">
        <v>30</v>
      </c>
      <c r="C32">
        <v>9.15</v>
      </c>
      <c r="D32">
        <v>19.98</v>
      </c>
      <c r="E32" t="str">
        <f t="shared" si="0"/>
        <v>Esbelto</v>
      </c>
      <c r="F32" s="28">
        <f t="shared" si="1"/>
        <v>29939.063999999998</v>
      </c>
      <c r="G32">
        <f t="shared" si="2"/>
        <v>14969.531999999999</v>
      </c>
    </row>
    <row r="33" spans="2:7" x14ac:dyDescent="0.25">
      <c r="B33">
        <v>31</v>
      </c>
      <c r="C33">
        <v>9.15</v>
      </c>
      <c r="D33">
        <v>19.98</v>
      </c>
      <c r="E33" t="str">
        <f t="shared" si="0"/>
        <v>Esbelto</v>
      </c>
      <c r="F33" s="28">
        <f t="shared" si="1"/>
        <v>28038.66555671176</v>
      </c>
      <c r="G33">
        <f t="shared" si="2"/>
        <v>14019.33277835588</v>
      </c>
    </row>
    <row r="34" spans="2:7" x14ac:dyDescent="0.25">
      <c r="B34">
        <v>32</v>
      </c>
      <c r="C34">
        <v>9.15</v>
      </c>
      <c r="D34">
        <v>19.98</v>
      </c>
      <c r="E34" t="str">
        <f t="shared" si="0"/>
        <v>Esbelto</v>
      </c>
      <c r="F34" s="28">
        <f t="shared" si="1"/>
        <v>26313.630468750001</v>
      </c>
      <c r="G34">
        <f t="shared" si="2"/>
        <v>13156.815234375001</v>
      </c>
    </row>
    <row r="35" spans="2:7" x14ac:dyDescent="0.25">
      <c r="B35">
        <v>33</v>
      </c>
      <c r="C35">
        <v>9.15</v>
      </c>
      <c r="D35">
        <v>19.98</v>
      </c>
      <c r="E35" t="str">
        <f t="shared" si="0"/>
        <v>Esbelto</v>
      </c>
      <c r="F35" s="28">
        <f t="shared" si="1"/>
        <v>24743.028099173556</v>
      </c>
      <c r="G35">
        <f t="shared" si="2"/>
        <v>12371.514049586778</v>
      </c>
    </row>
    <row r="36" spans="2:7" x14ac:dyDescent="0.25">
      <c r="B36">
        <v>34</v>
      </c>
      <c r="C36">
        <v>9.15</v>
      </c>
      <c r="D36">
        <v>19.98</v>
      </c>
      <c r="E36" t="str">
        <f t="shared" si="0"/>
        <v>Esbelto</v>
      </c>
      <c r="F36" s="28">
        <f t="shared" si="1"/>
        <v>23308.959861591695</v>
      </c>
      <c r="G36">
        <f t="shared" si="2"/>
        <v>11654.479930795847</v>
      </c>
    </row>
    <row r="37" spans="2:7" x14ac:dyDescent="0.25">
      <c r="B37">
        <v>35</v>
      </c>
      <c r="C37">
        <v>9.15</v>
      </c>
      <c r="D37">
        <v>19.98</v>
      </c>
      <c r="E37" t="str">
        <f t="shared" si="0"/>
        <v>Esbelto</v>
      </c>
      <c r="F37" s="28">
        <f t="shared" si="1"/>
        <v>21996.047020408165</v>
      </c>
      <c r="G37">
        <f t="shared" si="2"/>
        <v>10998.023510204082</v>
      </c>
    </row>
    <row r="38" spans="2:7" x14ac:dyDescent="0.25">
      <c r="B38">
        <v>36</v>
      </c>
      <c r="C38">
        <v>9.15</v>
      </c>
      <c r="D38">
        <v>19.98</v>
      </c>
      <c r="E38" t="str">
        <f t="shared" si="0"/>
        <v>Esbelto</v>
      </c>
      <c r="F38" s="28">
        <f t="shared" si="1"/>
        <v>20791.016666666666</v>
      </c>
      <c r="G38">
        <f t="shared" si="2"/>
        <v>10395.508333333333</v>
      </c>
    </row>
    <row r="39" spans="2:7" x14ac:dyDescent="0.25">
      <c r="B39">
        <v>37</v>
      </c>
      <c r="C39">
        <v>9.15</v>
      </c>
      <c r="D39">
        <v>19.98</v>
      </c>
      <c r="E39" t="str">
        <f t="shared" si="0"/>
        <v>Esbelto</v>
      </c>
      <c r="F39" s="28">
        <f t="shared" si="1"/>
        <v>19682.364937910887</v>
      </c>
      <c r="G39">
        <f t="shared" si="2"/>
        <v>9841.1824689554433</v>
      </c>
    </row>
    <row r="40" spans="2:7" x14ac:dyDescent="0.25">
      <c r="B40">
        <v>38</v>
      </c>
      <c r="C40">
        <v>9.15</v>
      </c>
      <c r="D40">
        <v>19.98</v>
      </c>
      <c r="E40" t="str">
        <f t="shared" si="0"/>
        <v>Esbelto</v>
      </c>
      <c r="F40" s="28">
        <f t="shared" si="1"/>
        <v>18660.081440443213</v>
      </c>
      <c r="G40">
        <f t="shared" si="2"/>
        <v>9330.0407202216065</v>
      </c>
    </row>
    <row r="41" spans="2:7" x14ac:dyDescent="0.25">
      <c r="B41">
        <v>39</v>
      </c>
      <c r="C41">
        <v>9.15</v>
      </c>
      <c r="D41">
        <v>19.98</v>
      </c>
      <c r="E41" t="str">
        <f t="shared" si="0"/>
        <v>Esbelto</v>
      </c>
      <c r="F41" s="28">
        <f t="shared" si="1"/>
        <v>17715.422485207102</v>
      </c>
      <c r="G41">
        <f t="shared" si="2"/>
        <v>8857.711242603551</v>
      </c>
    </row>
    <row r="42" spans="2:7" x14ac:dyDescent="0.25">
      <c r="B42">
        <v>40</v>
      </c>
      <c r="C42">
        <v>9.15</v>
      </c>
      <c r="D42">
        <v>19.98</v>
      </c>
      <c r="E42" t="str">
        <f t="shared" si="0"/>
        <v>Esbelto</v>
      </c>
      <c r="F42" s="28">
        <f t="shared" si="1"/>
        <v>16840.7235</v>
      </c>
      <c r="G42">
        <f t="shared" si="2"/>
        <v>8420.36175</v>
      </c>
    </row>
    <row r="43" spans="2:7" x14ac:dyDescent="0.25">
      <c r="B43">
        <v>41</v>
      </c>
      <c r="C43">
        <v>9.15</v>
      </c>
      <c r="D43">
        <v>19.98</v>
      </c>
      <c r="E43" t="str">
        <f t="shared" si="0"/>
        <v>Esbelto</v>
      </c>
      <c r="F43" s="28">
        <f t="shared" si="1"/>
        <v>16029.243069601429</v>
      </c>
      <c r="G43">
        <f t="shared" si="2"/>
        <v>8014.6215348007145</v>
      </c>
    </row>
    <row r="44" spans="2:7" x14ac:dyDescent="0.25">
      <c r="B44">
        <v>42</v>
      </c>
      <c r="C44">
        <v>9.15</v>
      </c>
      <c r="D44">
        <v>19.98</v>
      </c>
      <c r="E44" t="str">
        <f t="shared" si="0"/>
        <v>Esbelto</v>
      </c>
      <c r="F44" s="28">
        <f t="shared" si="1"/>
        <v>15275.032653061224</v>
      </c>
      <c r="G44">
        <f t="shared" si="2"/>
        <v>7637.5163265306119</v>
      </c>
    </row>
    <row r="45" spans="2:7" x14ac:dyDescent="0.25">
      <c r="B45">
        <v>43</v>
      </c>
      <c r="C45">
        <v>9.15</v>
      </c>
      <c r="D45">
        <v>19.98</v>
      </c>
      <c r="E45" t="str">
        <f t="shared" si="0"/>
        <v>Esbelto</v>
      </c>
      <c r="F45" s="28">
        <f t="shared" si="1"/>
        <v>14572.827257977286</v>
      </c>
      <c r="G45">
        <f t="shared" si="2"/>
        <v>7286.4136289886428</v>
      </c>
    </row>
    <row r="46" spans="2:7" x14ac:dyDescent="0.25">
      <c r="B46">
        <v>44</v>
      </c>
      <c r="C46">
        <v>9.15</v>
      </c>
      <c r="D46">
        <v>19.98</v>
      </c>
      <c r="E46" t="str">
        <f t="shared" si="0"/>
        <v>Esbelto</v>
      </c>
      <c r="F46" s="28">
        <f t="shared" si="1"/>
        <v>13917.953305785124</v>
      </c>
      <c r="G46">
        <f t="shared" si="2"/>
        <v>6958.976652892562</v>
      </c>
    </row>
    <row r="47" spans="2:7" x14ac:dyDescent="0.25">
      <c r="B47">
        <v>45</v>
      </c>
      <c r="C47">
        <v>9.15</v>
      </c>
      <c r="D47">
        <v>19.98</v>
      </c>
      <c r="E47" t="str">
        <f t="shared" si="0"/>
        <v>Esbelto</v>
      </c>
      <c r="F47" s="28">
        <f t="shared" si="1"/>
        <v>13306.250666666667</v>
      </c>
      <c r="G47">
        <f t="shared" si="2"/>
        <v>6653.1253333333334</v>
      </c>
    </row>
    <row r="48" spans="2:7" x14ac:dyDescent="0.25">
      <c r="B48">
        <v>46</v>
      </c>
      <c r="C48">
        <v>9.15</v>
      </c>
      <c r="D48">
        <v>19.98</v>
      </c>
      <c r="E48" t="str">
        <f t="shared" si="0"/>
        <v>Esbelto</v>
      </c>
      <c r="F48" s="28">
        <f t="shared" si="1"/>
        <v>12734.006427221171</v>
      </c>
      <c r="G48">
        <f t="shared" si="2"/>
        <v>6367.0032136105856</v>
      </c>
    </row>
    <row r="49" spans="2:7" x14ac:dyDescent="0.25">
      <c r="B49">
        <v>47</v>
      </c>
      <c r="C49">
        <v>9.15</v>
      </c>
      <c r="D49">
        <v>19.98</v>
      </c>
      <c r="E49" t="str">
        <f t="shared" si="0"/>
        <v>Esbelto</v>
      </c>
      <c r="F49" s="28">
        <f t="shared" si="1"/>
        <v>12197.898415572658</v>
      </c>
      <c r="G49">
        <f t="shared" si="2"/>
        <v>6098.9492077863288</v>
      </c>
    </row>
    <row r="50" spans="2:7" x14ac:dyDescent="0.25">
      <c r="B50">
        <v>48</v>
      </c>
      <c r="C50">
        <v>9.15</v>
      </c>
      <c r="D50">
        <v>19.98</v>
      </c>
      <c r="E50" t="str">
        <f t="shared" si="0"/>
        <v>Esbelto</v>
      </c>
      <c r="F50" s="28">
        <f t="shared" si="1"/>
        <v>11694.946875</v>
      </c>
      <c r="G50">
        <f t="shared" si="2"/>
        <v>5847.4734374999998</v>
      </c>
    </row>
    <row r="51" spans="2:7" x14ac:dyDescent="0.25">
      <c r="B51">
        <v>49</v>
      </c>
      <c r="C51">
        <v>9.15</v>
      </c>
      <c r="D51">
        <v>19.98</v>
      </c>
      <c r="E51" t="str">
        <f t="shared" si="0"/>
        <v>Esbelto</v>
      </c>
      <c r="F51" s="28">
        <f t="shared" si="1"/>
        <v>11222.472969596001</v>
      </c>
      <c r="G51">
        <f t="shared" si="2"/>
        <v>5611.2364847980007</v>
      </c>
    </row>
    <row r="52" spans="2:7" x14ac:dyDescent="0.25">
      <c r="B52">
        <v>50</v>
      </c>
      <c r="C52">
        <v>9.15</v>
      </c>
      <c r="D52">
        <v>19.98</v>
      </c>
      <c r="E52" t="str">
        <f t="shared" si="0"/>
        <v>Esbelto</v>
      </c>
      <c r="F52" s="28">
        <f t="shared" si="1"/>
        <v>10778.063039999999</v>
      </c>
      <c r="G52">
        <f t="shared" si="2"/>
        <v>5389.0315199999995</v>
      </c>
    </row>
    <row r="53" spans="2:7" x14ac:dyDescent="0.25">
      <c r="B53">
        <v>51</v>
      </c>
      <c r="C53">
        <v>9.15</v>
      </c>
      <c r="D53">
        <v>19.98</v>
      </c>
      <c r="E53" t="str">
        <f t="shared" si="0"/>
        <v>Esbelto</v>
      </c>
      <c r="F53" s="28">
        <f t="shared" si="1"/>
        <v>10359.537716262976</v>
      </c>
      <c r="G53">
        <f t="shared" si="2"/>
        <v>5179.7688581314878</v>
      </c>
    </row>
    <row r="54" spans="2:7" x14ac:dyDescent="0.25">
      <c r="B54">
        <v>52</v>
      </c>
      <c r="C54">
        <v>9.15</v>
      </c>
      <c r="D54">
        <v>19.98</v>
      </c>
      <c r="E54" t="str">
        <f t="shared" si="0"/>
        <v>Esbelto</v>
      </c>
      <c r="F54" s="28">
        <f t="shared" si="1"/>
        <v>9964.9251479289942</v>
      </c>
      <c r="G54">
        <f t="shared" si="2"/>
        <v>4982.4625739644971</v>
      </c>
    </row>
    <row r="55" spans="2:7" x14ac:dyDescent="0.25">
      <c r="B55">
        <v>53</v>
      </c>
      <c r="C55">
        <v>9.15</v>
      </c>
      <c r="D55">
        <v>19.98</v>
      </c>
      <c r="E55" t="str">
        <f t="shared" si="0"/>
        <v>Esbelto</v>
      </c>
      <c r="F55" s="28">
        <f t="shared" si="1"/>
        <v>9592.4377358490565</v>
      </c>
      <c r="G55">
        <f t="shared" si="2"/>
        <v>4796.2188679245282</v>
      </c>
    </row>
    <row r="56" spans="2:7" x14ac:dyDescent="0.25">
      <c r="B56">
        <v>54</v>
      </c>
      <c r="C56">
        <v>9.15</v>
      </c>
      <c r="D56">
        <v>19.98</v>
      </c>
      <c r="E56" t="str">
        <f t="shared" si="0"/>
        <v>Esbelto</v>
      </c>
      <c r="F56" s="28">
        <f t="shared" si="1"/>
        <v>9240.4518518518526</v>
      </c>
      <c r="G56">
        <f t="shared" si="2"/>
        <v>4620.2259259259263</v>
      </c>
    </row>
    <row r="57" spans="2:7" x14ac:dyDescent="0.25">
      <c r="B57">
        <v>55</v>
      </c>
      <c r="C57">
        <v>9.15</v>
      </c>
      <c r="D57">
        <v>19.98</v>
      </c>
      <c r="E57" t="str">
        <f t="shared" si="0"/>
        <v>Esbelto</v>
      </c>
      <c r="F57" s="28">
        <f t="shared" si="1"/>
        <v>8907.4901157024797</v>
      </c>
      <c r="G57">
        <f t="shared" si="2"/>
        <v>4453.7450578512398</v>
      </c>
    </row>
    <row r="58" spans="2:7" x14ac:dyDescent="0.25">
      <c r="B58">
        <v>56</v>
      </c>
      <c r="C58">
        <v>9.15</v>
      </c>
      <c r="D58">
        <v>19.98</v>
      </c>
      <c r="E58" t="str">
        <f t="shared" si="0"/>
        <v>Esbelto</v>
      </c>
      <c r="F58" s="28">
        <f t="shared" si="1"/>
        <v>8592.2058673469401</v>
      </c>
      <c r="G58">
        <f t="shared" si="2"/>
        <v>4296.10293367347</v>
      </c>
    </row>
    <row r="59" spans="2:7" x14ac:dyDescent="0.25">
      <c r="B59">
        <v>57</v>
      </c>
      <c r="C59">
        <v>9.15</v>
      </c>
      <c r="D59">
        <v>19.98</v>
      </c>
      <c r="E59" t="str">
        <f t="shared" si="0"/>
        <v>Esbelto</v>
      </c>
      <c r="F59" s="28">
        <f t="shared" si="1"/>
        <v>8293.3695290858723</v>
      </c>
      <c r="G59">
        <f t="shared" si="2"/>
        <v>4146.6847645429361</v>
      </c>
    </row>
    <row r="60" spans="2:7" x14ac:dyDescent="0.25">
      <c r="B60">
        <v>58</v>
      </c>
      <c r="C60">
        <v>9.15</v>
      </c>
      <c r="D60">
        <v>19.98</v>
      </c>
      <c r="E60" t="str">
        <f t="shared" si="0"/>
        <v>Esbelto</v>
      </c>
      <c r="F60" s="28">
        <f t="shared" si="1"/>
        <v>8009.8565992865642</v>
      </c>
      <c r="G60">
        <f t="shared" si="2"/>
        <v>4004.9282996432821</v>
      </c>
    </row>
    <row r="61" spans="2:7" x14ac:dyDescent="0.25">
      <c r="B61">
        <v>59</v>
      </c>
      <c r="C61">
        <v>9.15</v>
      </c>
      <c r="D61">
        <v>19.98</v>
      </c>
      <c r="E61" t="str">
        <f t="shared" si="0"/>
        <v>Esbelto</v>
      </c>
      <c r="F61" s="28">
        <f t="shared" si="1"/>
        <v>7740.6370583165763</v>
      </c>
      <c r="G61">
        <f t="shared" si="2"/>
        <v>3870.3185291582881</v>
      </c>
    </row>
    <row r="62" spans="2:7" x14ac:dyDescent="0.25">
      <c r="B62">
        <v>60</v>
      </c>
      <c r="C62">
        <v>9.15</v>
      </c>
      <c r="D62">
        <v>19.98</v>
      </c>
      <c r="E62" t="str">
        <f t="shared" si="0"/>
        <v>Esbelto</v>
      </c>
      <c r="F62" s="28">
        <f t="shared" si="1"/>
        <v>7484.7659999999996</v>
      </c>
      <c r="G62">
        <f t="shared" si="2"/>
        <v>3742.3829999999998</v>
      </c>
    </row>
    <row r="63" spans="2:7" x14ac:dyDescent="0.25">
      <c r="B63">
        <v>61</v>
      </c>
      <c r="C63">
        <v>9.15</v>
      </c>
      <c r="D63">
        <v>19.98</v>
      </c>
      <c r="E63" t="str">
        <f t="shared" si="0"/>
        <v>Esbelto</v>
      </c>
      <c r="F63" s="28">
        <f t="shared" si="1"/>
        <v>7241.3753292125784</v>
      </c>
      <c r="G63">
        <f t="shared" si="2"/>
        <v>3620.6876646062892</v>
      </c>
    </row>
    <row r="64" spans="2:7" x14ac:dyDescent="0.25">
      <c r="B64">
        <v>62</v>
      </c>
      <c r="C64">
        <v>9.15</v>
      </c>
      <c r="D64">
        <v>19.98</v>
      </c>
      <c r="E64" t="str">
        <f t="shared" si="0"/>
        <v>Esbelto</v>
      </c>
      <c r="F64" s="28">
        <f t="shared" si="1"/>
        <v>7009.6663891779399</v>
      </c>
      <c r="G64">
        <f t="shared" si="2"/>
        <v>3504.8331945889699</v>
      </c>
    </row>
    <row r="65" spans="2:7" x14ac:dyDescent="0.25">
      <c r="B65">
        <v>63</v>
      </c>
      <c r="C65">
        <v>9.15</v>
      </c>
      <c r="D65">
        <v>19.98</v>
      </c>
      <c r="E65" t="str">
        <f t="shared" si="0"/>
        <v>Esbelto</v>
      </c>
      <c r="F65" s="28">
        <f t="shared" si="1"/>
        <v>6788.9034013605451</v>
      </c>
      <c r="G65">
        <f t="shared" si="2"/>
        <v>3394.4517006802726</v>
      </c>
    </row>
    <row r="66" spans="2:7" x14ac:dyDescent="0.25">
      <c r="B66">
        <v>64</v>
      </c>
      <c r="C66">
        <v>9.15</v>
      </c>
      <c r="D66">
        <v>19.98</v>
      </c>
      <c r="E66" t="str">
        <f t="shared" si="0"/>
        <v>Esbelto</v>
      </c>
      <c r="F66" s="28">
        <f t="shared" si="1"/>
        <v>6578.4076171875004</v>
      </c>
      <c r="G66">
        <f t="shared" si="2"/>
        <v>3289.2038085937502</v>
      </c>
    </row>
    <row r="67" spans="2:7" x14ac:dyDescent="0.25">
      <c r="B67">
        <v>65</v>
      </c>
      <c r="C67">
        <v>9.15</v>
      </c>
      <c r="D67">
        <v>19.98</v>
      </c>
      <c r="E67" t="str">
        <f t="shared" si="0"/>
        <v>Esbelto</v>
      </c>
      <c r="F67" s="28">
        <f t="shared" si="1"/>
        <v>6377.5520946745564</v>
      </c>
      <c r="G67">
        <f t="shared" si="2"/>
        <v>3188.7760473372782</v>
      </c>
    </row>
    <row r="68" spans="2:7" x14ac:dyDescent="0.25">
      <c r="B68">
        <v>66</v>
      </c>
      <c r="C68">
        <v>9.15</v>
      </c>
      <c r="D68">
        <v>19.98</v>
      </c>
      <c r="E68" t="str">
        <f t="shared" ref="E68:E82" si="3">IF(AND(B68&gt;C68,B68&lt;=D68),"Semi-Compacto",IF(B68&lt;C68,"Compacto","Esbelto"))</f>
        <v>Esbelto</v>
      </c>
      <c r="F68" s="28">
        <f t="shared" ref="F68:F82" si="4">IF(E68="Semi-Compacto",($I$1-($I$1-$N$1)*((B68-C68)/(D68-C68))),IF(E68="Esbelto",(0.9*20000*0.53/(B68^2))*$L$1,$I$1))</f>
        <v>6185.7570247933891</v>
      </c>
      <c r="G68">
        <f t="shared" ref="G68:G82" si="5">IF(E68="Semi-Compacto",($I$1-($I$1-$N$1)*((B68-C68)/(D68-C68))),IF(E68="Esbelto",(0.9*20000*0.53/(B68^2))*0.5*$L$1,$I$1))</f>
        <v>3092.8785123966945</v>
      </c>
    </row>
    <row r="69" spans="2:7" x14ac:dyDescent="0.25">
      <c r="B69">
        <v>67</v>
      </c>
      <c r="C69">
        <v>9.15</v>
      </c>
      <c r="D69">
        <v>19.98</v>
      </c>
      <c r="E69" t="str">
        <f t="shared" si="3"/>
        <v>Esbelto</v>
      </c>
      <c r="F69" s="28">
        <f t="shared" si="4"/>
        <v>6002.485542437068</v>
      </c>
      <c r="G69">
        <f t="shared" si="5"/>
        <v>3001.242771218534</v>
      </c>
    </row>
    <row r="70" spans="2:7" x14ac:dyDescent="0.25">
      <c r="B70">
        <v>68</v>
      </c>
      <c r="C70">
        <v>9.15</v>
      </c>
      <c r="D70">
        <v>19.98</v>
      </c>
      <c r="E70" t="str">
        <f t="shared" si="3"/>
        <v>Esbelto</v>
      </c>
      <c r="F70" s="28">
        <f t="shared" si="4"/>
        <v>5827.2399653979237</v>
      </c>
      <c r="G70">
        <f t="shared" si="5"/>
        <v>2913.6199826989618</v>
      </c>
    </row>
    <row r="71" spans="2:7" x14ac:dyDescent="0.25">
      <c r="B71">
        <v>69</v>
      </c>
      <c r="C71">
        <v>9.15</v>
      </c>
      <c r="D71">
        <v>19.98</v>
      </c>
      <c r="E71" t="str">
        <f t="shared" si="3"/>
        <v>Esbelto</v>
      </c>
      <c r="F71" s="28">
        <f t="shared" si="4"/>
        <v>5659.5584120982985</v>
      </c>
      <c r="G71">
        <f t="shared" si="5"/>
        <v>2829.7792060491493</v>
      </c>
    </row>
    <row r="72" spans="2:7" x14ac:dyDescent="0.25">
      <c r="B72">
        <v>70</v>
      </c>
      <c r="C72">
        <v>9.15</v>
      </c>
      <c r="D72">
        <v>19.98</v>
      </c>
      <c r="E72" t="str">
        <f t="shared" si="3"/>
        <v>Esbelto</v>
      </c>
      <c r="F72" s="28">
        <f t="shared" si="4"/>
        <v>5499.0117551020412</v>
      </c>
      <c r="G72">
        <f t="shared" si="5"/>
        <v>2749.5058775510206</v>
      </c>
    </row>
    <row r="73" spans="2:7" x14ac:dyDescent="0.25">
      <c r="B73">
        <v>71</v>
      </c>
      <c r="C73">
        <v>9.15</v>
      </c>
      <c r="D73">
        <v>19.98</v>
      </c>
      <c r="E73" t="str">
        <f t="shared" si="3"/>
        <v>Esbelto</v>
      </c>
      <c r="F73" s="28">
        <f t="shared" si="4"/>
        <v>5345.2008728426899</v>
      </c>
      <c r="G73">
        <f t="shared" si="5"/>
        <v>2672.600436421345</v>
      </c>
    </row>
    <row r="74" spans="2:7" x14ac:dyDescent="0.25">
      <c r="B74">
        <v>72</v>
      </c>
      <c r="C74">
        <v>9.15</v>
      </c>
      <c r="D74">
        <v>19.98</v>
      </c>
      <c r="E74" t="str">
        <f t="shared" si="3"/>
        <v>Esbelto</v>
      </c>
      <c r="F74" s="28">
        <f t="shared" si="4"/>
        <v>5197.7541666666666</v>
      </c>
      <c r="G74">
        <f t="shared" si="5"/>
        <v>2598.8770833333333</v>
      </c>
    </row>
    <row r="75" spans="2:7" x14ac:dyDescent="0.25">
      <c r="B75">
        <v>73</v>
      </c>
      <c r="C75">
        <v>9.15</v>
      </c>
      <c r="D75">
        <v>19.98</v>
      </c>
      <c r="E75" t="str">
        <f t="shared" si="3"/>
        <v>Esbelto</v>
      </c>
      <c r="F75" s="28">
        <f t="shared" si="4"/>
        <v>5056.3253143178836</v>
      </c>
      <c r="G75">
        <f t="shared" si="5"/>
        <v>2528.1626571589418</v>
      </c>
    </row>
    <row r="76" spans="2:7" x14ac:dyDescent="0.25">
      <c r="B76">
        <v>74</v>
      </c>
      <c r="C76">
        <v>9.15</v>
      </c>
      <c r="D76">
        <v>19.98</v>
      </c>
      <c r="E76" t="str">
        <f t="shared" si="3"/>
        <v>Esbelto</v>
      </c>
      <c r="F76" s="28">
        <f t="shared" si="4"/>
        <v>4920.5912344777216</v>
      </c>
      <c r="G76">
        <f t="shared" si="5"/>
        <v>2460.2956172388608</v>
      </c>
    </row>
    <row r="77" spans="2:7" x14ac:dyDescent="0.25">
      <c r="B77">
        <v>75</v>
      </c>
      <c r="C77">
        <v>9.15</v>
      </c>
      <c r="D77">
        <v>19.98</v>
      </c>
      <c r="E77" t="str">
        <f t="shared" si="3"/>
        <v>Esbelto</v>
      </c>
      <c r="F77" s="28">
        <f t="shared" si="4"/>
        <v>4790.2502400000003</v>
      </c>
      <c r="G77">
        <f t="shared" si="5"/>
        <v>2395.1251200000002</v>
      </c>
    </row>
    <row r="78" spans="2:7" x14ac:dyDescent="0.25">
      <c r="B78">
        <v>76</v>
      </c>
      <c r="C78">
        <v>9.15</v>
      </c>
      <c r="D78">
        <v>19.98</v>
      </c>
      <c r="E78" t="str">
        <f t="shared" si="3"/>
        <v>Esbelto</v>
      </c>
      <c r="F78" s="28">
        <f t="shared" si="4"/>
        <v>4665.0203601108033</v>
      </c>
      <c r="G78">
        <f t="shared" si="5"/>
        <v>2332.5101800554016</v>
      </c>
    </row>
    <row r="79" spans="2:7" x14ac:dyDescent="0.25">
      <c r="B79">
        <v>77</v>
      </c>
      <c r="C79">
        <v>9.15</v>
      </c>
      <c r="D79">
        <v>19.98</v>
      </c>
      <c r="E79" t="str">
        <f t="shared" si="3"/>
        <v>Esbelto</v>
      </c>
      <c r="F79" s="28">
        <f t="shared" si="4"/>
        <v>4544.6378141339183</v>
      </c>
      <c r="G79">
        <f t="shared" si="5"/>
        <v>2272.3189070669591</v>
      </c>
    </row>
    <row r="80" spans="2:7" x14ac:dyDescent="0.25">
      <c r="B80">
        <v>78</v>
      </c>
      <c r="C80">
        <v>9.15</v>
      </c>
      <c r="D80">
        <v>19.98</v>
      </c>
      <c r="E80" t="str">
        <f t="shared" si="3"/>
        <v>Esbelto</v>
      </c>
      <c r="F80" s="28">
        <f t="shared" si="4"/>
        <v>4428.8556213017755</v>
      </c>
      <c r="G80">
        <f t="shared" si="5"/>
        <v>2214.4278106508877</v>
      </c>
    </row>
    <row r="81" spans="2:7" x14ac:dyDescent="0.25">
      <c r="B81">
        <v>79</v>
      </c>
      <c r="C81">
        <v>9.15</v>
      </c>
      <c r="D81">
        <v>19.98</v>
      </c>
      <c r="E81" t="str">
        <f t="shared" si="3"/>
        <v>Esbelto</v>
      </c>
      <c r="F81" s="28">
        <f t="shared" si="4"/>
        <v>4317.442332959462</v>
      </c>
      <c r="G81">
        <f t="shared" si="5"/>
        <v>2158.721166479731</v>
      </c>
    </row>
    <row r="82" spans="2:7" x14ac:dyDescent="0.25">
      <c r="B82">
        <v>80</v>
      </c>
      <c r="C82">
        <v>9.15</v>
      </c>
      <c r="D82">
        <v>19.98</v>
      </c>
      <c r="E82" t="str">
        <f t="shared" si="3"/>
        <v>Esbelto</v>
      </c>
      <c r="F82" s="28">
        <f t="shared" si="4"/>
        <v>4210.180875</v>
      </c>
      <c r="G82">
        <f t="shared" si="5"/>
        <v>2105.0904375</v>
      </c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U Simples Dobrado</vt:lpstr>
      <vt:lpstr>U Enrijecido Dobrado</vt:lpstr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jacob</dc:creator>
  <cp:lastModifiedBy>User</cp:lastModifiedBy>
  <dcterms:created xsi:type="dcterms:W3CDTF">2020-09-24T17:45:38Z</dcterms:created>
  <dcterms:modified xsi:type="dcterms:W3CDTF">2021-09-27T15:39:16Z</dcterms:modified>
</cp:coreProperties>
</file>